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uter1.sharepoint.com/sites/Analyseavdelingen/Shared Documents/03. Transportanalyse og statistikk/Årsrapport/2021/Leveranser/"/>
    </mc:Choice>
  </mc:AlternateContent>
  <xr:revisionPtr revIDLastSave="282" documentId="8_{44BC77FB-1AA0-4383-9396-35E80F90656F}" xr6:coauthVersionLast="47" xr6:coauthVersionMax="47" xr10:uidLastSave="{D9B384FC-7269-4BC0-BDCC-FB947F280DD1}"/>
  <bookViews>
    <workbookView xWindow="-120" yWindow="-120" windowWidth="29040" windowHeight="15840" xr2:uid="{00000000-000D-0000-FFFF-FFFF00000000}"/>
  </bookViews>
  <sheets>
    <sheet name="Totalt 2020" sheetId="1" r:id="rId1"/>
    <sheet name="Bane 2020" sheetId="2" r:id="rId2"/>
    <sheet name="Trikk 2020" sheetId="3" r:id="rId3"/>
    <sheet name="Buss totalt 2020" sheetId="16" r:id="rId4"/>
    <sheet name="Bybuss 2020" sheetId="17" r:id="rId5"/>
    <sheet name="Regionbuss 2020" sheetId="18" r:id="rId6"/>
    <sheet name="Båt totalt 2020" sheetId="19" r:id="rId7"/>
    <sheet name="Båt tidl. Akershus 2020" sheetId="20" r:id="rId8"/>
    <sheet name="Båt Oslo 2020" sheetId="21" r:id="rId9"/>
    <sheet name="Tog 2020" sheetId="27" r:id="rId10"/>
  </sheets>
  <definedNames>
    <definedName name="_xlnm.Print_Area" localSheetId="1">'Bane 2020'!$B$6:$P$44</definedName>
    <definedName name="_xlnm.Print_Area" localSheetId="3">'Buss totalt 2020'!$B$6:$X$45</definedName>
    <definedName name="_xlnm.Print_Area" localSheetId="4">'Bybuss 2020'!$B$6:$V$45</definedName>
    <definedName name="_xlnm.Print_Area" localSheetId="8">'Båt Oslo 2020'!$B$7:$O$48</definedName>
    <definedName name="_xlnm.Print_Area" localSheetId="7">'Båt tidl. Akershus 2020'!$B$7:$O$49</definedName>
    <definedName name="_xlnm.Print_Area" localSheetId="6">'Båt totalt 2020'!$B$7:$O$48</definedName>
    <definedName name="_xlnm.Print_Area" localSheetId="5">'Regionbuss 2020'!$B$6:$V$45</definedName>
    <definedName name="_xlnm.Print_Area" localSheetId="0">'Totalt 2020'!$B$2:$U$39</definedName>
    <definedName name="_xlnm.Print_Area" localSheetId="2">'Trikk 2020'!$B$7:$P$45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C21" i="2"/>
  <c r="C16" i="21" l="1"/>
  <c r="C16" i="20"/>
  <c r="C16" i="19"/>
  <c r="C15" i="18"/>
  <c r="C15" i="17"/>
  <c r="C15" i="16"/>
  <c r="C16" i="3"/>
  <c r="C17" i="2"/>
  <c r="C14" i="1"/>
  <c r="D14" i="1"/>
  <c r="D12" i="18" l="1"/>
  <c r="D13" i="2"/>
  <c r="D12" i="17" l="1"/>
  <c r="D13" i="3"/>
  <c r="I14" i="3"/>
  <c r="D13" i="20" l="1"/>
  <c r="D12" i="19" l="1"/>
  <c r="D16" i="20"/>
  <c r="D13" i="21"/>
  <c r="D18" i="19"/>
  <c r="D14" i="19"/>
  <c r="D15" i="19" l="1"/>
  <c r="D17" i="19"/>
  <c r="D16" i="21"/>
  <c r="D13" i="19"/>
  <c r="E14" i="18"/>
  <c r="F14" i="18"/>
  <c r="D16" i="19" l="1"/>
  <c r="D17" i="16"/>
  <c r="D14" i="16" l="1"/>
  <c r="D12" i="1" s="1"/>
  <c r="D16" i="16"/>
  <c r="D11" i="16"/>
  <c r="D13" i="16"/>
  <c r="D21" i="2"/>
  <c r="D20" i="3"/>
  <c r="D15" i="17" l="1"/>
  <c r="D16" i="3" l="1"/>
  <c r="D13" i="1"/>
  <c r="D11" i="1"/>
  <c r="D9" i="1" l="1"/>
  <c r="E13" i="2"/>
  <c r="F13" i="2"/>
  <c r="D17" i="2" l="1"/>
  <c r="P21" i="2" l="1"/>
  <c r="E14" i="1" l="1"/>
  <c r="E16" i="19"/>
  <c r="E13" i="20"/>
  <c r="E16" i="20" s="1"/>
  <c r="F13" i="20"/>
  <c r="F16" i="20" s="1"/>
  <c r="F13" i="21"/>
  <c r="E18" i="21"/>
  <c r="E17" i="21"/>
  <c r="E15" i="21"/>
  <c r="E14" i="21"/>
  <c r="E12" i="21"/>
  <c r="E13" i="21" s="1"/>
  <c r="E15" i="16"/>
  <c r="E12" i="18"/>
  <c r="F12" i="18"/>
  <c r="E12" i="17"/>
  <c r="F12" i="17"/>
  <c r="G12" i="17"/>
  <c r="E16" i="21" l="1"/>
  <c r="E15" i="18"/>
  <c r="E15" i="17"/>
  <c r="E13" i="3"/>
  <c r="F13" i="3"/>
  <c r="E17" i="2"/>
  <c r="F17" i="2"/>
  <c r="F15" i="18"/>
  <c r="E16" i="3" l="1"/>
  <c r="F14" i="1"/>
  <c r="F16" i="19" l="1"/>
  <c r="F16" i="21" l="1"/>
  <c r="F15" i="16"/>
  <c r="F15" i="17"/>
  <c r="F16" i="3" l="1"/>
  <c r="G14" i="1" l="1"/>
  <c r="G16" i="19"/>
  <c r="G13" i="20"/>
  <c r="G13" i="21"/>
  <c r="G15" i="16"/>
  <c r="G15" i="17"/>
  <c r="G14" i="18"/>
  <c r="G12" i="18"/>
  <c r="G13" i="3"/>
  <c r="G13" i="2"/>
  <c r="G17" i="2" s="1"/>
  <c r="G16" i="20" l="1"/>
  <c r="G16" i="21"/>
  <c r="G16" i="3"/>
  <c r="G15" i="18"/>
  <c r="H16" i="19" l="1"/>
  <c r="H17" i="20"/>
  <c r="H13" i="20"/>
  <c r="H13" i="21"/>
  <c r="H15" i="16"/>
  <c r="H16" i="21" l="1"/>
  <c r="H16" i="20"/>
  <c r="H14" i="18" l="1"/>
  <c r="H12" i="18"/>
  <c r="H17" i="17"/>
  <c r="H16" i="17"/>
  <c r="H12" i="17"/>
  <c r="H15" i="17" s="1"/>
  <c r="H14" i="1" l="1"/>
  <c r="H20" i="3"/>
  <c r="H13" i="3"/>
  <c r="H13" i="2"/>
  <c r="H16" i="2"/>
  <c r="H17" i="2" l="1"/>
  <c r="H16" i="3"/>
  <c r="I17" i="3"/>
  <c r="I21" i="2" l="1"/>
  <c r="I14" i="1" l="1"/>
  <c r="I18" i="21" l="1"/>
  <c r="I17" i="21"/>
  <c r="I15" i="21"/>
  <c r="I14" i="21"/>
  <c r="I13" i="21"/>
  <c r="I13" i="20"/>
  <c r="I16" i="19"/>
  <c r="I15" i="16"/>
  <c r="I17" i="18"/>
  <c r="I16" i="18"/>
  <c r="I13" i="18"/>
  <c r="I14" i="18" s="1"/>
  <c r="I12" i="18"/>
  <c r="I17" i="17"/>
  <c r="I16" i="17"/>
  <c r="I14" i="17"/>
  <c r="I13" i="17"/>
  <c r="I12" i="17"/>
  <c r="I18" i="3"/>
  <c r="I15" i="3"/>
  <c r="I13" i="3"/>
  <c r="I19" i="2"/>
  <c r="I18" i="2"/>
  <c r="I15" i="2"/>
  <c r="I14" i="2"/>
  <c r="I16" i="2" s="1"/>
  <c r="I13" i="2"/>
  <c r="I16" i="21" l="1"/>
  <c r="I16" i="20"/>
  <c r="I17" i="2"/>
  <c r="I15" i="17"/>
  <c r="I15" i="18"/>
  <c r="I16" i="3"/>
  <c r="J14" i="1"/>
  <c r="J15" i="16"/>
  <c r="J12" i="17" l="1"/>
  <c r="J15" i="17" s="1"/>
  <c r="J14" i="18" l="1"/>
  <c r="J12" i="18"/>
  <c r="J16" i="19"/>
  <c r="J17" i="21"/>
  <c r="J13" i="21"/>
  <c r="J16" i="21" s="1"/>
  <c r="J13" i="20"/>
  <c r="J16" i="20" s="1"/>
  <c r="J16" i="2"/>
  <c r="J13" i="2"/>
  <c r="J13" i="3"/>
  <c r="J16" i="3" s="1"/>
  <c r="J15" i="18" l="1"/>
  <c r="J17" i="2"/>
  <c r="K19" i="3" l="1"/>
  <c r="K13" i="3" l="1"/>
  <c r="K13" i="2"/>
  <c r="K16" i="2"/>
  <c r="K17" i="2" l="1"/>
  <c r="K16" i="3"/>
  <c r="K14" i="1"/>
  <c r="L20" i="3" l="1"/>
  <c r="K20" i="3" l="1"/>
  <c r="J20" i="3"/>
  <c r="L16" i="2"/>
  <c r="L13" i="2"/>
  <c r="L17" i="2" l="1"/>
  <c r="L13" i="3"/>
  <c r="L16" i="3" l="1"/>
  <c r="L14" i="1" l="1"/>
  <c r="M13" i="3" l="1"/>
  <c r="M16" i="3" l="1"/>
  <c r="M16" i="2"/>
  <c r="M13" i="2" l="1"/>
  <c r="M14" i="1" l="1"/>
  <c r="M17" i="2"/>
  <c r="N13" i="3" l="1"/>
  <c r="N16" i="3" l="1"/>
  <c r="N13" i="2"/>
  <c r="N14" i="1" l="1"/>
  <c r="N17" i="2"/>
  <c r="P13" i="2"/>
  <c r="P20" i="3"/>
  <c r="O13" i="3"/>
  <c r="O13" i="2"/>
  <c r="O21" i="2" l="1"/>
  <c r="O16" i="3"/>
  <c r="O17" i="2"/>
  <c r="P17" i="2"/>
  <c r="P13" i="3"/>
  <c r="N21" i="2" l="1"/>
  <c r="P16" i="3"/>
  <c r="K21" i="2" l="1"/>
  <c r="J21" i="2" s="1"/>
  <c r="H21" i="2" s="1"/>
  <c r="O14" i="1"/>
  <c r="M21" i="2"/>
  <c r="P14" i="1"/>
  <c r="L21" i="2" l="1"/>
  <c r="D15" i="18" l="1"/>
  <c r="D12" i="16"/>
  <c r="D15" i="16" l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acbakke</author>
  </authors>
  <commentList>
    <comment ref="P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Inkl. båt og tog</t>
        </r>
      </text>
    </comment>
    <comment ref="P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Ekskl. båt og tog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acbakke</author>
    <author>Bakke Anne Cathrine</author>
    <author>Anne Cathrine Bakke</author>
    <author>syssl</author>
  </authors>
  <commentList>
    <comment ref="N1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Basert på Ruter, men OTD flere vognkm enn Ruter. Bør diskuteres</t>
        </r>
      </text>
    </comment>
    <comment ref="J1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Skyldes ant. stegning av Sinsen, på Ringen, medfører dobling ant. avganger.</t>
        </r>
      </text>
    </comment>
    <comment ref="F21" authorId="1" shapeId="0" xr:uid="{3381AF89-862E-45AC-8134-9E8AECF15249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Som i 2016</t>
        </r>
      </text>
    </comment>
    <comment ref="I21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2014 minus trase mellom Bøler og Mortensrud. Altså traselengde ved årsskiftet 2016</t>
        </r>
      </text>
    </comment>
    <comment ref="J21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Inkl. Avløs-Kolsås målt på GISkart</t>
        </r>
      </text>
    </comment>
    <comment ref="K21" authorId="2" shapeId="0" xr:uid="{00000000-0006-0000-0100-000011000000}">
      <text>
        <r>
          <rPr>
            <b/>
            <sz val="9"/>
            <color indexed="81"/>
            <rFont val="Tahoma"/>
            <family val="2"/>
          </rPr>
          <t>Anne Cathrine Bakke:</t>
        </r>
        <r>
          <rPr>
            <sz val="9"/>
            <color indexed="81"/>
            <rFont val="Tahoma"/>
            <family val="2"/>
          </rPr>
          <t xml:space="preserve">
Lengde 2010 pluss lengde Jar til Avløs målt i GIS</t>
        </r>
      </text>
    </comment>
    <comment ref="L21" authorId="2" shapeId="0" xr:uid="{00000000-0006-0000-0100-000012000000}">
      <text>
        <r>
          <rPr>
            <b/>
            <sz val="9"/>
            <color indexed="81"/>
            <rFont val="Tahoma"/>
            <family val="2"/>
          </rPr>
          <t>Anne Cathrine Bakke:</t>
        </r>
        <r>
          <rPr>
            <sz val="9"/>
            <color indexed="81"/>
            <rFont val="Tahoma"/>
            <family val="2"/>
          </rPr>
          <t xml:space="preserve">
Inkl. Gjønnes målt i GIS
Revidert i 2013</t>
        </r>
      </text>
    </comment>
    <comment ref="M21" authorId="3" shapeId="0" xr:uid="{00000000-0006-0000-0100-000013000000}">
      <text>
        <r>
          <rPr>
            <b/>
            <sz val="8"/>
            <color indexed="81"/>
            <rFont val="Tahoma"/>
            <family val="2"/>
          </rPr>
          <t>syssl:</t>
        </r>
        <r>
          <rPr>
            <sz val="8"/>
            <color indexed="81"/>
            <rFont val="Tahoma"/>
            <family val="2"/>
          </rPr>
          <t xml:space="preserve">
inkl. Jar-Bekkestua målt i GIS</t>
        </r>
      </text>
    </comment>
    <comment ref="N21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Inkl. til Jar+ til Holmenkollen
</t>
        </r>
      </text>
    </comment>
    <comment ref="O21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Minus Besserud -Frognerseteren</t>
        </r>
      </text>
    </comment>
    <comment ref="P21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Til Åsjordet</t>
        </r>
      </text>
    </comment>
    <comment ref="P23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Inkl. tomkjøring og muligens ekstrakjøring
</t>
        </r>
      </text>
    </comment>
    <comment ref="Q27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Tabell MOS 2007 Gro+C2006</t>
        </r>
      </text>
    </comment>
    <comment ref="Q28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Tabell MOS 2007 Gro+C2006</t>
        </r>
      </text>
    </comment>
    <comment ref="Q29" authorId="0" shapeId="0" xr:uid="{00000000-0006-0000-0100-000020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Tabell MOS 2007 Gro+C2006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Cathrine Bakke</author>
    <author>syssl</author>
    <author>acbakke</author>
    <author>Bakke Anne Cathrine</author>
  </authors>
  <commentList>
    <comment ref="L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Anne Cathrine Bakke:</t>
        </r>
        <r>
          <rPr>
            <sz val="9"/>
            <color indexed="81"/>
            <rFont val="Tahoma"/>
            <family val="2"/>
          </rPr>
          <t xml:space="preserve">
Forundrer meg , da linje 11 var avkortet nær hele året.</t>
        </r>
      </text>
    </comment>
    <comment ref="K1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Anne Cathrine Bakke:</t>
        </r>
        <r>
          <rPr>
            <sz val="9"/>
            <color indexed="81"/>
            <rFont val="Tahoma"/>
            <family val="2"/>
          </rPr>
          <t xml:space="preserve">
Venter på data fra "Trikken"
</t>
        </r>
      </text>
    </comment>
    <comment ref="L15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syssl:</t>
        </r>
        <r>
          <rPr>
            <sz val="8"/>
            <color indexed="81"/>
            <rFont val="Tahoma"/>
            <family val="2"/>
          </rPr>
          <t xml:space="preserve">
Beregnet på basis av data fra Trikken. Større andel SL95 i 2012
</t>
        </r>
      </text>
    </comment>
    <comment ref="M15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>syssl:</t>
        </r>
        <r>
          <rPr>
            <sz val="8"/>
            <color indexed="81"/>
            <rFont val="Tahoma"/>
            <family val="2"/>
          </rPr>
          <t xml:space="preserve">
Beregnet på basis av data fra Trikken</t>
        </r>
      </text>
    </comment>
    <comment ref="N15" authorId="2" shapeId="0" xr:uid="{00000000-0006-0000-0200-000007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Basert på Ruter, men  OSD færre vognkm enn Ruter. Må diskutere.
</t>
        </r>
      </text>
    </comment>
    <comment ref="J18" authorId="3" shapeId="0" xr:uid="{00000000-0006-0000-0200-00000A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Ekskl. tomkjøring
</t>
        </r>
      </text>
    </comment>
    <comment ref="K19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Anne Cathrine Bakke:</t>
        </r>
        <r>
          <rPr>
            <sz val="9"/>
            <color indexed="81"/>
            <rFont val="Tahoma"/>
            <family val="2"/>
          </rPr>
          <t xml:space="preserve">
Ingen endring ifølge Wold på trikke, innhentet via Bogen</t>
        </r>
      </text>
    </comment>
    <comment ref="L19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Anne Cathrine Bakke:</t>
        </r>
        <r>
          <rPr>
            <sz val="9"/>
            <color indexed="81"/>
            <rFont val="Tahoma"/>
            <family val="2"/>
          </rPr>
          <t xml:space="preserve">
Tore Bogens info fra Trikken</t>
        </r>
      </text>
    </comment>
    <comment ref="F20" authorId="3" shapeId="0" xr:uid="{DE76127D-A245-4681-A3F1-08F55A01EB9E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Som 2016 minus Storo-Kjelsås</t>
        </r>
      </text>
    </comment>
    <comment ref="H20" authorId="3" shapeId="0" xr:uid="{00000000-0006-0000-0200-00000F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Som 2015</t>
        </r>
      </text>
    </comment>
    <comment ref="I20" authorId="3" shapeId="0" xr:uid="{00000000-0006-0000-0200-000010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Usikker på om Jar- Bekkestua er inkl.</t>
        </r>
      </text>
    </comment>
    <comment ref="K20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Anne Cathrine Bakke:</t>
        </r>
        <r>
          <rPr>
            <sz val="9"/>
            <color indexed="81"/>
            <rFont val="Tahoma"/>
            <family val="2"/>
          </rPr>
          <t xml:space="preserve">
som 2012 minus Majorstuen-Uranienborg målt på Finn kart</t>
        </r>
      </text>
    </comment>
    <comment ref="L2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Anne Cathrine Bakke:</t>
        </r>
        <r>
          <rPr>
            <sz val="9"/>
            <color indexed="81"/>
            <rFont val="Tahoma"/>
            <family val="2"/>
          </rPr>
          <t xml:space="preserve">
Ved årskiftet? Usikker på om noe ikke var i bruk
</t>
        </r>
      </text>
    </comment>
    <comment ref="P20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Ved årsskiftet -  minus trikk over Briskeby</t>
        </r>
      </text>
    </comment>
    <comment ref="P22" authorId="2" shapeId="0" xr:uid="{00000000-0006-0000-0200-000015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Inkl. tomkjøring og muligens ekstrakjøring</t>
        </r>
      </text>
    </comment>
    <comment ref="Q26" authorId="2" shapeId="0" xr:uid="{00000000-0006-0000-0200-000016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Tabell MOS 2007 Gro+C2006</t>
        </r>
      </text>
    </comment>
    <comment ref="Q27" authorId="2" shapeId="0" xr:uid="{00000000-0006-0000-0200-000018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Tabell MOS 2007 Gro+C2006</t>
        </r>
      </text>
    </comment>
    <comment ref="Q28" authorId="2" shapeId="0" xr:uid="{00000000-0006-0000-0200-00001A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Tabell MOS 2007 Gro+C2006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Cathrine Bakke</author>
  </authors>
  <commentList>
    <comment ref="B2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Anne Cathrine Bakke:</t>
        </r>
        <r>
          <rPr>
            <sz val="8"/>
            <color indexed="81"/>
            <rFont val="Tahoma"/>
            <family val="2"/>
          </rPr>
          <t xml:space="preserve">
Inkl. tomkjøring og muligens ekstrakjøring
</t>
        </r>
      </text>
    </comment>
    <comment ref="L2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Anne Cathrine Bakke:</t>
        </r>
        <r>
          <rPr>
            <sz val="9"/>
            <color indexed="81"/>
            <rFont val="Tahoma"/>
            <family val="2"/>
          </rPr>
          <t xml:space="preserve">
Beregnet ved bruk av Frida. Metodeendring medfører den store nedgangen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Bakke Anne Cathrine</author>
    <author>Anne Cathrine Bakke</author>
    <author>acbakke</author>
  </authors>
  <commentList>
    <comment ref="H1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Inkjl. Buss for bane L3 og buss for tog</t>
        </r>
      </text>
    </comment>
    <comment ref="I1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Inkl. L3B
</t>
        </r>
      </text>
    </comment>
    <comment ref="I1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Uttak HASTUS, ACB minus innstilt + planlagt L3B
</t>
        </r>
      </text>
    </comment>
    <comment ref="I1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Beregnet på basis av uttak Hastus og linjevis busstype. Minus innstilte og inkl. planlagt L3B
</t>
        </r>
      </text>
    </comment>
    <comment ref="H16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Skjema fra FS, rev ACB pluss Hastus L3
</t>
        </r>
      </text>
    </comment>
    <comment ref="I16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Uttak HASTUS, ACB. Minus innstilt + L3B Planlagt</t>
        </r>
      </text>
    </comment>
    <comment ref="H17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Skjema fra FS, rev ACB pluss Hastus L3</t>
        </r>
      </text>
    </comment>
    <comment ref="I17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Uttak HASTUS, ACB. Minus innstilt, inkl. planlagt L3B. Justert Bengts linje 36E regneark. Noe med 36E</t>
        </r>
      </text>
    </comment>
    <comment ref="B18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Anne Cathrine Bakke:</t>
        </r>
        <r>
          <rPr>
            <sz val="9"/>
            <color indexed="81"/>
            <rFont val="Tahoma"/>
            <family val="2"/>
          </rPr>
          <t xml:space="preserve">
I henhold til rutetabell</t>
        </r>
      </text>
    </comment>
    <comment ref="P18" authorId="2" shapeId="0" xr:uid="{00000000-0006-0000-0400-00000A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Fremkom 2008</t>
        </r>
      </text>
    </comment>
    <comment ref="B21" authorId="1" shapeId="0" xr:uid="{00000000-0006-0000-0400-00000B000000}">
      <text>
        <r>
          <rPr>
            <b/>
            <sz val="8"/>
            <color indexed="81"/>
            <rFont val="Tahoma"/>
            <family val="2"/>
          </rPr>
          <t>Anne Cathrine Bakke:</t>
        </r>
        <r>
          <rPr>
            <sz val="8"/>
            <color indexed="81"/>
            <rFont val="Tahoma"/>
            <family val="2"/>
          </rPr>
          <t xml:space="preserve">
Inkl. tomkjøring og muligens ekstrakjøring
</t>
        </r>
      </text>
    </comment>
    <comment ref="K23" authorId="1" shapeId="0" xr:uid="{00000000-0006-0000-0400-00000C000000}">
      <text>
        <r>
          <rPr>
            <b/>
            <sz val="9"/>
            <color indexed="81"/>
            <rFont val="Tahoma"/>
            <family val="2"/>
          </rPr>
          <t>Anne Cathrine Bakke:</t>
        </r>
        <r>
          <rPr>
            <sz val="9"/>
            <color indexed="81"/>
            <rFont val="Tahoma"/>
            <family val="2"/>
          </rPr>
          <t xml:space="preserve">
Må sjekkes
</t>
        </r>
      </text>
    </comment>
    <comment ref="P24" authorId="2" shapeId="0" xr:uid="{00000000-0006-0000-0400-00000D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Justert av AMA feb2010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acbakke</author>
    <author>Bakke Anne Cathrine</author>
    <author>Anne Cathrine Bakke</author>
  </authors>
  <commentList>
    <comment ref="O1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Justert , ny ber.metode</t>
        </r>
      </text>
    </comment>
    <comment ref="P11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Justert, ny ber.metode</t>
        </r>
      </text>
    </comment>
    <comment ref="P12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SL benyttet 14 km som reiselengde</t>
        </r>
      </text>
    </comment>
    <comment ref="H13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Planlagt-innstilt Skjema fra Freddy rev ACB</t>
        </r>
      </text>
    </comment>
    <comment ref="I13" authorId="1" shapeId="0" xr:uid="{00000000-0006-0000-0500-000005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Bengt/Hastus minus ACB innstilte</t>
        </r>
      </text>
    </comment>
    <comment ref="J13" authorId="1" shapeId="0" xr:uid="{00000000-0006-0000-0500-000006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</t>
        </r>
      </text>
    </comment>
    <comment ref="P13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Kalles rutekm i SL, ekskl. 17% tomkjøring.
Kilde Bengt J.</t>
        </r>
      </text>
    </comment>
    <comment ref="D14" authorId="1" shapeId="0" xr:uid="{1F22E3EF-8AE3-47B4-B712-7E1BFF2F538C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Metodeendring</t>
        </r>
      </text>
    </comment>
    <comment ref="P14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SL har her brukt 45 passasjerer per buss</t>
        </r>
      </text>
    </comment>
    <comment ref="D15" authorId="1" shapeId="0" xr:uid="{D2D87A7D-97E3-426B-88C0-38EC8E7BE731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Metodeendring
</t>
        </r>
      </text>
    </comment>
    <comment ref="H16" authorId="1" shapeId="0" xr:uid="{00000000-0006-0000-0500-000009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planlagt-innstilt, skjema fra Freddy rev ACB</t>
        </r>
      </text>
    </comment>
    <comment ref="I16" authorId="1" shapeId="0" xr:uid="{00000000-0006-0000-0500-00000A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Bengt/Hastus minus ACB  innstilte</t>
        </r>
      </text>
    </comment>
    <comment ref="J16" authorId="1" shapeId="0" xr:uid="{00000000-0006-0000-0500-00000B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</t>
        </r>
      </text>
    </comment>
    <comment ref="H17" authorId="1" shapeId="0" xr:uid="{00000000-0006-0000-0500-00000C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Planlagt-innstilt, skjema fra Freddy rev ACB</t>
        </r>
      </text>
    </comment>
    <comment ref="I17" authorId="1" shapeId="0" xr:uid="{00000000-0006-0000-0500-00000D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Bengt/Hastus minus ACB  innstilte</t>
        </r>
      </text>
    </comment>
    <comment ref="J17" authorId="1" shapeId="0" xr:uid="{00000000-0006-0000-0500-00000E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</t>
        </r>
      </text>
    </comment>
    <comment ref="P18" authorId="0" shapeId="0" xr:uid="{00000000-0006-0000-0500-00000F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Fremkom 2008</t>
        </r>
      </text>
    </comment>
    <comment ref="B21" authorId="2" shapeId="0" xr:uid="{00000000-0006-0000-0500-000011000000}">
      <text>
        <r>
          <rPr>
            <b/>
            <sz val="8"/>
            <color indexed="81"/>
            <rFont val="Tahoma"/>
            <family val="2"/>
          </rPr>
          <t>Anne Cathrine Bakke:</t>
        </r>
        <r>
          <rPr>
            <sz val="8"/>
            <color indexed="81"/>
            <rFont val="Tahoma"/>
            <family val="2"/>
          </rPr>
          <t xml:space="preserve">
Inkl. tomkjøring og muligens ekstrakjøring
</t>
        </r>
      </text>
    </comment>
    <comment ref="P24" authorId="0" shapeId="0" xr:uid="{00000000-0006-0000-0500-000012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Justert av AMA i feb2010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acbakke</author>
    <author>Anne Cathrine Bakke</author>
  </authors>
  <commentList>
    <comment ref="P20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Ved årsskiftet -  minus trikk over Briskeby</t>
        </r>
      </text>
    </comment>
    <comment ref="B22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Anne Cathrine Bakke:</t>
        </r>
        <r>
          <rPr>
            <sz val="8"/>
            <color indexed="81"/>
            <rFont val="Tahoma"/>
            <family val="2"/>
          </rPr>
          <t xml:space="preserve">
Inkl. tomkjøring og muligens ekstrakjøring
</t>
        </r>
      </text>
    </comment>
    <comment ref="P22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Inkl. tomkjøring og muligens ekstrakjøring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acbakke</author>
    <author>Bakke Anne Cathrine</author>
    <author>Anne Cathrine Bakke</author>
  </authors>
  <commentList>
    <comment ref="O12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Justert, ny ber. Metode
</t>
        </r>
      </text>
    </comment>
    <comment ref="P12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acbakke:</t>
        </r>
        <r>
          <rPr>
            <sz val="8"/>
            <color indexed="81"/>
            <rFont val="Tahoma"/>
            <family val="2"/>
          </rPr>
          <t xml:space="preserve">
Justert, ny ber.metode</t>
        </r>
      </text>
    </comment>
    <comment ref="I14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</t>
        </r>
      </text>
    </comment>
    <comment ref="J14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</t>
        </r>
      </text>
    </comment>
    <comment ref="I15" authorId="1" shapeId="0" xr:uid="{00000000-0006-0000-0700-000005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</t>
        </r>
      </text>
    </comment>
    <comment ref="J15" authorId="1" shapeId="0" xr:uid="{00000000-0006-0000-0700-000006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</t>
        </r>
      </text>
    </comment>
    <comment ref="H17" authorId="1" shapeId="0" xr:uid="{00000000-0006-0000-0700-000007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Planlagt Hastus minus innstilte fra Freddy
</t>
        </r>
      </text>
    </comment>
    <comment ref="I17" authorId="1" shapeId="0" xr:uid="{00000000-0006-0000-0700-000008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</t>
        </r>
      </text>
    </comment>
    <comment ref="J17" authorId="1" shapeId="0" xr:uid="{00000000-0006-0000-0700-000009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</t>
        </r>
      </text>
    </comment>
    <comment ref="H18" authorId="1" shapeId="0" xr:uid="{00000000-0006-0000-0700-00000A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Hastus
</t>
        </r>
      </text>
    </comment>
    <comment ref="I18" authorId="1" shapeId="0" xr:uid="{00000000-0006-0000-0700-00000B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</t>
        </r>
      </text>
    </comment>
    <comment ref="J18" authorId="1" shapeId="0" xr:uid="{00000000-0006-0000-0700-00000C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Bengt</t>
        </r>
      </text>
    </comment>
    <comment ref="B22" authorId="2" shapeId="0" xr:uid="{00000000-0006-0000-0700-00000D000000}">
      <text>
        <r>
          <rPr>
            <b/>
            <sz val="8"/>
            <color indexed="81"/>
            <rFont val="Tahoma"/>
            <family val="2"/>
          </rPr>
          <t>Anne Cathrine Bakke:</t>
        </r>
        <r>
          <rPr>
            <sz val="8"/>
            <color indexed="81"/>
            <rFont val="Tahoma"/>
            <family val="2"/>
          </rPr>
          <t xml:space="preserve">
Inkl. tomkjøring og muligens ekstrakjøring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Bakke Anne Cathrine</author>
    <author>Anne Cathrine Bakke</author>
  </authors>
  <commentList>
    <comment ref="E13" authorId="0" shapeId="0" xr:uid="{A588F1F4-D53A-4349-BB20-41E44C069C7F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OF har beregnet snitt til 3,2. Blant annet pgs av flytting til Rådhusbryggen</t>
        </r>
      </text>
    </comment>
    <comment ref="F13" authorId="0" shapeId="0" xr:uid="{7941C9D8-A987-4A6E-87CE-A8591D9E9DB2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OF har beregnet snitt til 3,2. Blant annet pgs av flytting til Rådhusbryggen</t>
        </r>
      </text>
    </comment>
    <comment ref="G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OF har beregnet snitt til 3,2. Blant annet pgs av flytting til Rådhusbryggen</t>
        </r>
      </text>
    </comment>
    <comment ref="I1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OF har beregnet snitt til 3,2. Blant annet pgs av flytting til Rådhusbryggen</t>
        </r>
      </text>
    </comment>
    <comment ref="J1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beholder 2,1, da en stor andel reiser til Hovedøya på 630m</t>
        </r>
      </text>
    </comment>
    <comment ref="H14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 xml:space="preserve">Bakke Anne Cathrine:
</t>
        </r>
        <r>
          <rPr>
            <sz val="9"/>
            <color indexed="81"/>
            <rFont val="Tahoma"/>
            <family val="2"/>
          </rPr>
          <t>Kilde: OF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Hastus: 77287, 84
</t>
        </r>
      </text>
    </comment>
    <comment ref="I14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OF
Litt lavere i Hastus v/ Roger</t>
        </r>
      </text>
    </comment>
    <comment ref="I15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Beregnet av ACB</t>
        </r>
      </text>
    </comment>
    <comment ref="H17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Hastus minus innstilt+tilsatt</t>
        </r>
      </text>
    </comment>
    <comment ref="I17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Fra Hastus v/Roger</t>
        </r>
      </text>
    </comment>
    <comment ref="J17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Bakke Anne Cathrine:</t>
        </r>
        <r>
          <rPr>
            <sz val="9"/>
            <color indexed="81"/>
            <rFont val="Tahoma"/>
            <family val="2"/>
          </rPr>
          <t xml:space="preserve">
Som rapportert til SSB for 2013
Antakelig alfor høyt anslag</t>
        </r>
      </text>
    </comment>
    <comment ref="B22" authorId="1" shapeId="0" xr:uid="{00000000-0006-0000-0800-00000A000000}">
      <text>
        <r>
          <rPr>
            <b/>
            <sz val="8"/>
            <color indexed="81"/>
            <rFont val="Tahoma"/>
            <family val="2"/>
          </rPr>
          <t>Anne Cathrine Bakke:</t>
        </r>
        <r>
          <rPr>
            <sz val="8"/>
            <color indexed="81"/>
            <rFont val="Tahoma"/>
            <family val="2"/>
          </rPr>
          <t xml:space="preserve">
Inkl. tomkjøring og muligens ekstrakjøring
</t>
        </r>
      </text>
    </comment>
  </commentList>
</comments>
</file>

<file path=xl/sharedStrings.xml><?xml version="1.0" encoding="utf-8"?>
<sst xmlns="http://schemas.openxmlformats.org/spreadsheetml/2006/main" count="272" uniqueCount="106">
  <si>
    <t>OPERASJONELLE NØKKELTALL</t>
  </si>
  <si>
    <t>Beleggsprosent (plass)</t>
  </si>
  <si>
    <t>ØKONOMISKE NØKKELTALL</t>
  </si>
  <si>
    <t>Trafikkinntekter (mill)</t>
  </si>
  <si>
    <t>T-BANE</t>
  </si>
  <si>
    <t>Reisehastighet km/t</t>
  </si>
  <si>
    <t xml:space="preserve">Energiforbruk pr personkm </t>
  </si>
  <si>
    <t>Kostnad/avgang</t>
  </si>
  <si>
    <t>Trafikkinntekt/reise</t>
  </si>
  <si>
    <t>Trafikkinntekt/personkm</t>
  </si>
  <si>
    <t>Kostnad/reise</t>
  </si>
  <si>
    <t>Kostnad/personkm</t>
  </si>
  <si>
    <t>Reiser (mill)</t>
  </si>
  <si>
    <t xml:space="preserve">OPERASJONELLE NØKKELTALL  </t>
  </si>
  <si>
    <r>
      <t>Utslipp av NO</t>
    </r>
    <r>
      <rPr>
        <vertAlign val="subscript"/>
        <sz val="9"/>
        <rFont val="Arial"/>
        <family val="2"/>
      </rPr>
      <t>X</t>
    </r>
    <r>
      <rPr>
        <sz val="9"/>
        <rFont val="Arial"/>
        <family val="2"/>
      </rPr>
      <t xml:space="preserve"> g/pr personkm </t>
    </r>
  </si>
  <si>
    <t>Kostnad/plasskm</t>
  </si>
  <si>
    <t>Trafikkinntekt/plasskm</t>
  </si>
  <si>
    <t>Vognkm (mill)</t>
  </si>
  <si>
    <t>Avganger (i 1000)</t>
  </si>
  <si>
    <t>Busstimer (i 1000)</t>
  </si>
  <si>
    <t>Avganger i 1000</t>
  </si>
  <si>
    <t>RUTERS TRAFIKKOMRÅDE</t>
  </si>
  <si>
    <t>TRIKK</t>
  </si>
  <si>
    <t xml:space="preserve">Reiser (mill) </t>
  </si>
  <si>
    <t xml:space="preserve">Plasskm (mill) </t>
  </si>
  <si>
    <t xml:space="preserve">Trafikkinntekter (mill) </t>
  </si>
  <si>
    <t xml:space="preserve">Kostnader (mill) </t>
  </si>
  <si>
    <t xml:space="preserve">Driftsresultat (mill) </t>
  </si>
  <si>
    <t xml:space="preserve">Resultat etter ekstraordinære poster (mill) </t>
  </si>
  <si>
    <t xml:space="preserve">Gjeldsgrad </t>
  </si>
  <si>
    <t xml:space="preserve">Soliditet (EK-andel) </t>
  </si>
  <si>
    <t xml:space="preserve">Likviditetsgrad I </t>
  </si>
  <si>
    <t xml:space="preserve">OPERASJONELLE NØKKELTALL </t>
  </si>
  <si>
    <t xml:space="preserve">Personkm (mill) </t>
  </si>
  <si>
    <t xml:space="preserve">Trasélengde km </t>
  </si>
  <si>
    <t xml:space="preserve">Intern effektivitet: </t>
  </si>
  <si>
    <t xml:space="preserve">Ekstern effektivitet: </t>
  </si>
  <si>
    <t>Dermed faller kapitalkostnaden for infrastruktur og vognpark i hovedsak utenfor.</t>
  </si>
  <si>
    <t>Dermed faller kapitalkostnaden for infrastruktur i hovedsak utenfor.</t>
  </si>
  <si>
    <t>Økonomiske tall er justert etter konsumprisindeksen.</t>
  </si>
  <si>
    <t xml:space="preserve">Effektivitetsdata omfatter bare Ruter As' regnskapsførte kostnader. </t>
  </si>
  <si>
    <t>Tilskudd (mill)</t>
  </si>
  <si>
    <t>Kostnader/reise (ekskl. tog)</t>
  </si>
  <si>
    <t>Trafikkinntekt/reise (inkl. tog)</t>
  </si>
  <si>
    <r>
      <t>Utslipp av fossilt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kg/pr personkm </t>
    </r>
  </si>
  <si>
    <r>
      <t>Utslipp av PM</t>
    </r>
    <r>
      <rPr>
        <vertAlign val="subscript"/>
        <sz val="9"/>
        <rFont val="Arial"/>
        <family val="2"/>
      </rPr>
      <t xml:space="preserve">10 </t>
    </r>
    <r>
      <rPr>
        <sz val="10"/>
        <rFont val="Arial"/>
        <family val="2"/>
      </rPr>
      <t>inkl. veistøv</t>
    </r>
    <r>
      <rPr>
        <sz val="9"/>
        <rFont val="Arial"/>
        <family val="2"/>
      </rPr>
      <t xml:space="preserve"> g/pr personkm </t>
    </r>
  </si>
  <si>
    <t>Båtkm (mill)</t>
  </si>
  <si>
    <t>Båttimer (i 1000)</t>
  </si>
  <si>
    <t>Kostnader (mill) *</t>
  </si>
  <si>
    <t>Reiser (mill) *</t>
  </si>
  <si>
    <t>BUSS totalt</t>
  </si>
  <si>
    <t xml:space="preserve">BYBUSS </t>
  </si>
  <si>
    <t xml:space="preserve">REGIONBUSS </t>
  </si>
  <si>
    <t>BÅT totalt</t>
  </si>
  <si>
    <t>TOG</t>
  </si>
  <si>
    <t>Kostnader (mill) **</t>
  </si>
  <si>
    <t>Vognkilometer (mill)</t>
  </si>
  <si>
    <t>Busstimer (i 1000)*</t>
  </si>
  <si>
    <t>Reisehastighet km/t **</t>
  </si>
  <si>
    <t xml:space="preserve"> </t>
  </si>
  <si>
    <t>** Togtimer ekskl. regulering og tomkjøring fra 2014</t>
  </si>
  <si>
    <t>** Kostnader inklusive trafikkreklame direkte til Sporveien.</t>
  </si>
  <si>
    <t>Togkm (mill)</t>
  </si>
  <si>
    <t>Togtimer (i 1000) **</t>
  </si>
  <si>
    <t>* Busstimer ekskl. regulering og tomkjøring fra 2014 (delvis inkl. før 2014)</t>
  </si>
  <si>
    <t>** Reisehastighet=vognkm/busstimer fra 2014</t>
  </si>
  <si>
    <t>Reiser med tog Oslo (mill.)</t>
  </si>
  <si>
    <t xml:space="preserve">Reiser med tog Akershus/Grensekryssende (mill.) </t>
  </si>
  <si>
    <t>Inntektsfordeling (i 1000)</t>
  </si>
  <si>
    <t>Prisdifferanse (i 1000)</t>
  </si>
  <si>
    <t>Sum inntektsfordeling og prisdifferanse (i 1000)</t>
  </si>
  <si>
    <t>Inntektsfordeling og prisdifferanse/reise</t>
  </si>
  <si>
    <t>BÅT Oslo</t>
  </si>
  <si>
    <t>Endret tellemetode for passasjertall fra 2012. Passjertallene er derfor ikke sammenlignbare med tidligere år.</t>
  </si>
  <si>
    <t>Reiser med tog totalt (mill.)</t>
  </si>
  <si>
    <t xml:space="preserve">  Det betyr at antall reiser i 2017 er korrekt, mens utvikling 2016-2017 er feil.</t>
  </si>
  <si>
    <t xml:space="preserve">Energibruk pr personkm </t>
  </si>
  <si>
    <t>* Antall reiser er inkl. tog. Produksjonsdata er ekskl. tog.</t>
  </si>
  <si>
    <t>Personkm (mill)</t>
  </si>
  <si>
    <t xml:space="preserve">Beleggsprosent (plass) </t>
  </si>
  <si>
    <t>Plasskm (mill) *</t>
  </si>
  <si>
    <t>Trafikkinntekt/plasskm*</t>
  </si>
  <si>
    <t>Personkilometer (mill)</t>
  </si>
  <si>
    <t>* Ny metodendring i 2019, benytter automatiske tellinger</t>
  </si>
  <si>
    <t>2017 *</t>
  </si>
  <si>
    <t xml:space="preserve">* Antall reiser med tog i 2016 ble oppgitt for høyt, derfor blir det en nedgang i antall reiser fra 2016-2017. </t>
  </si>
  <si>
    <t>ØKONOMISKE NØKKELTALL **</t>
  </si>
  <si>
    <t>** Reisehastighet=vognkm/busstimer</t>
  </si>
  <si>
    <t>* Plasskilometer i 2020. Setekilometer frem til 2019.</t>
  </si>
  <si>
    <t>Busstimer (i 1000) **</t>
  </si>
  <si>
    <t>***Reisehastighet=vognkm/busstimer fra 2014</t>
  </si>
  <si>
    <t>** Busstimer ekskl. regulering og tomkjøring fra 2014</t>
  </si>
  <si>
    <t>* Metodeendring, se fotnote regionbuss</t>
  </si>
  <si>
    <t>Fra 2014 omfatter Båt Oslo kun øybåtene, da vi ikke lenger har noen takstavtale med Bygdøyfergene.</t>
  </si>
  <si>
    <t>BÅT Viken (tidl. Akershus)</t>
  </si>
  <si>
    <t>* Metodeendringer i antall reiser "Båt tidl. Akershus" påvirker antall båtreiser totalt, se fotnote "Båt Viken (tidl. Akershus)"</t>
  </si>
  <si>
    <t>* Metodeendring, antall reiser "Båt tidl. Akershus" satt lik manuelle tellinger i 2017 og 2018.</t>
  </si>
  <si>
    <t>* Kostnader inkl. trafikkreklame direkte til Sporveien (61,3 mill i 2020).</t>
  </si>
  <si>
    <t>Beleggsprosent (plass) *</t>
  </si>
  <si>
    <t>2021*</t>
  </si>
  <si>
    <t xml:space="preserve">** Kostnader inkl. trafikkreklame direkte til Sporveien (2,2 mill i 2020). </t>
  </si>
  <si>
    <t>Vogntimer (i 1000) ***</t>
  </si>
  <si>
    <t>*** Vogntimer ekskl. regulering og tomkjøring fra 2014</t>
  </si>
  <si>
    <t xml:space="preserve">* Antall påstigende med trikk ble beregnet for lavt i 2020 og skulle vært på nivå med årets. Endringen 2020-2021 skyldes en metodisk endring. </t>
  </si>
  <si>
    <t>2021**</t>
  </si>
  <si>
    <t>** Fra 2021 inkluderer antall reiser med tog også påstigende i Oslo og tidl. Akershus på Gjøvikbanen.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</si>
</sst>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0.0"/>
    <numFmt numFmtId="166" formatCode="0.0\ %"/>
    <numFmt numFmtId="167" formatCode="0.0000"/>
    <numFmt numFmtId="168" formatCode="#,##0.0"/>
    <numFmt numFmtId="169" formatCode="_ * #,##0_ ;_ * \-#,##0_ ;_ * &quot;-&quot;??_ ;_ @_ "/>
    <numFmt numFmtId="170" formatCode="0.000"/>
    <numFmt numFmtId="171" formatCode="0.000\ %"/>
    <numFmt numFmtId="172" formatCode="0.00000"/>
    <numFmt numFmtId="173" formatCode="0.0000000000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55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i/>
      <sz val="10"/>
      <color indexed="55"/>
      <name val="Arial"/>
      <family val="2"/>
    </font>
    <font>
      <sz val="10"/>
      <color indexed="22"/>
      <name val="Arial"/>
      <family val="2"/>
    </font>
    <font>
      <i/>
      <sz val="10"/>
      <color indexed="22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 Narrow"/>
      <family val="2"/>
    </font>
    <font>
      <sz val="14"/>
      <name val="Arial"/>
      <family val="2"/>
    </font>
    <font>
      <vertAlign val="subscript"/>
      <sz val="9"/>
      <name val="Arial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i/>
      <sz val="10"/>
      <color theme="0" tint="-0.34998626667073579"/>
      <name val="Arial"/>
      <family val="2"/>
    </font>
    <font>
      <sz val="11"/>
      <color indexed="8"/>
      <name val="Calibri"/>
      <family val="2"/>
    </font>
    <font>
      <sz val="10"/>
      <color theme="0" tint="-0.34998626667073579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0"/>
      <name val="Arial"/>
      <family val="2"/>
    </font>
    <font>
      <b/>
      <sz val="14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249977111117893"/>
      <name val="Arial Narrow"/>
      <family val="2"/>
    </font>
    <font>
      <i/>
      <sz val="10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9"/>
      <color theme="0" tint="-0.249977111117893"/>
      <name val="Arial"/>
      <family val="2"/>
    </font>
    <font>
      <b/>
      <sz val="10"/>
      <color indexed="8"/>
      <name val="Arial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9" fillId="0" borderId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9" fontId="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12" applyNumberFormat="0" applyAlignment="0" applyProtection="0"/>
    <xf numFmtId="0" fontId="50" fillId="8" borderId="13" applyNumberFormat="0" applyAlignment="0" applyProtection="0"/>
    <xf numFmtId="0" fontId="51" fillId="8" borderId="12" applyNumberFormat="0" applyAlignment="0" applyProtection="0"/>
    <xf numFmtId="0" fontId="52" fillId="0" borderId="14" applyNumberFormat="0" applyFill="0" applyAlignment="0" applyProtection="0"/>
    <xf numFmtId="0" fontId="53" fillId="9" borderId="1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7" fillId="34" borderId="0" applyNumberFormat="0" applyBorder="0" applyAlignment="0" applyProtection="0"/>
    <xf numFmtId="0" fontId="6" fillId="0" borderId="0"/>
    <xf numFmtId="0" fontId="6" fillId="10" borderId="16" applyNumberFormat="0" applyFont="0" applyAlignment="0" applyProtection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73" fillId="0" borderId="0" applyNumberFormat="0" applyBorder="0" applyAlignment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48">
    <xf numFmtId="0" fontId="0" fillId="0" borderId="0" xfId="0"/>
    <xf numFmtId="0" fontId="11" fillId="2" borderId="0" xfId="0" applyFont="1" applyFill="1"/>
    <xf numFmtId="0" fontId="11" fillId="0" borderId="0" xfId="0" applyFont="1"/>
    <xf numFmtId="0" fontId="13" fillId="2" borderId="0" xfId="0" applyFont="1" applyFill="1"/>
    <xf numFmtId="0" fontId="14" fillId="2" borderId="0" xfId="0" applyFont="1" applyFill="1"/>
    <xf numFmtId="165" fontId="11" fillId="2" borderId="0" xfId="2" applyNumberFormat="1" applyFont="1" applyFill="1"/>
    <xf numFmtId="165" fontId="15" fillId="2" borderId="0" xfId="2" applyNumberFormat="1" applyFont="1" applyFill="1" applyAlignment="1">
      <alignment horizontal="left"/>
    </xf>
    <xf numFmtId="165" fontId="16" fillId="2" borderId="0" xfId="2" applyNumberFormat="1" applyFont="1" applyFill="1"/>
    <xf numFmtId="0" fontId="16" fillId="0" borderId="0" xfId="0" applyFont="1"/>
    <xf numFmtId="165" fontId="11" fillId="2" borderId="0" xfId="0" applyNumberFormat="1" applyFont="1" applyFill="1"/>
    <xf numFmtId="1" fontId="11" fillId="2" borderId="0" xfId="0" applyNumberFormat="1" applyFont="1" applyFill="1"/>
    <xf numFmtId="166" fontId="11" fillId="2" borderId="0" xfId="1" applyNumberFormat="1" applyFont="1" applyFill="1"/>
    <xf numFmtId="166" fontId="17" fillId="2" borderId="0" xfId="1" applyNumberFormat="1" applyFont="1" applyFill="1"/>
    <xf numFmtId="0" fontId="11" fillId="0" borderId="0" xfId="0" applyFont="1" applyFill="1"/>
    <xf numFmtId="168" fontId="11" fillId="2" borderId="0" xfId="2" applyNumberFormat="1" applyFont="1" applyFill="1"/>
    <xf numFmtId="168" fontId="11" fillId="2" borderId="0" xfId="0" applyNumberFormat="1" applyFont="1" applyFill="1"/>
    <xf numFmtId="166" fontId="11" fillId="2" borderId="0" xfId="0" applyNumberFormat="1" applyFont="1" applyFill="1"/>
    <xf numFmtId="0" fontId="18" fillId="2" borderId="0" xfId="0" applyFont="1" applyFill="1"/>
    <xf numFmtId="0" fontId="20" fillId="2" borderId="0" xfId="0" applyFont="1" applyFill="1"/>
    <xf numFmtId="0" fontId="22" fillId="0" borderId="0" xfId="0" applyFont="1" applyFill="1"/>
    <xf numFmtId="167" fontId="17" fillId="0" borderId="0" xfId="0" applyNumberFormat="1" applyFont="1" applyFill="1"/>
    <xf numFmtId="0" fontId="27" fillId="0" borderId="0" xfId="0" applyFont="1"/>
    <xf numFmtId="0" fontId="28" fillId="0" borderId="0" xfId="0" applyFont="1"/>
    <xf numFmtId="0" fontId="23" fillId="0" borderId="0" xfId="0" applyFont="1" applyFill="1"/>
    <xf numFmtId="0" fontId="22" fillId="2" borderId="0" xfId="0" applyFont="1" applyFill="1"/>
    <xf numFmtId="0" fontId="12" fillId="0" borderId="0" xfId="0" applyFont="1"/>
    <xf numFmtId="1" fontId="11" fillId="0" borderId="0" xfId="0" applyNumberFormat="1" applyFont="1"/>
    <xf numFmtId="165" fontId="15" fillId="2" borderId="0" xfId="2" applyNumberFormat="1" applyFont="1" applyFill="1"/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/>
    <xf numFmtId="0" fontId="11" fillId="2" borderId="3" xfId="0" applyFont="1" applyFill="1" applyBorder="1"/>
    <xf numFmtId="0" fontId="14" fillId="2" borderId="3" xfId="0" applyFont="1" applyFill="1" applyBorder="1"/>
    <xf numFmtId="0" fontId="11" fillId="2" borderId="4" xfId="0" applyFont="1" applyFill="1" applyBorder="1"/>
    <xf numFmtId="1" fontId="11" fillId="2" borderId="3" xfId="0" applyNumberFormat="1" applyFont="1" applyFill="1" applyBorder="1"/>
    <xf numFmtId="165" fontId="11" fillId="2" borderId="3" xfId="0" applyNumberFormat="1" applyFont="1" applyFill="1" applyBorder="1"/>
    <xf numFmtId="165" fontId="11" fillId="0" borderId="3" xfId="0" applyNumberFormat="1" applyFont="1" applyFill="1" applyBorder="1"/>
    <xf numFmtId="0" fontId="11" fillId="0" borderId="3" xfId="0" applyFont="1" applyFill="1" applyBorder="1"/>
    <xf numFmtId="167" fontId="16" fillId="0" borderId="0" xfId="0" applyNumberFormat="1" applyFont="1"/>
    <xf numFmtId="1" fontId="11" fillId="0" borderId="3" xfId="0" applyNumberFormat="1" applyFont="1" applyFill="1" applyBorder="1"/>
    <xf numFmtId="0" fontId="11" fillId="2" borderId="0" xfId="0" applyFont="1" applyFill="1" applyBorder="1"/>
    <xf numFmtId="0" fontId="11" fillId="2" borderId="5" xfId="0" applyFont="1" applyFill="1" applyBorder="1"/>
    <xf numFmtId="0" fontId="18" fillId="2" borderId="0" xfId="0" applyFont="1" applyFill="1" applyBorder="1"/>
    <xf numFmtId="1" fontId="11" fillId="0" borderId="0" xfId="0" applyNumberFormat="1" applyFont="1" applyFill="1"/>
    <xf numFmtId="167" fontId="11" fillId="0" borderId="0" xfId="0" applyNumberFormat="1" applyFont="1"/>
    <xf numFmtId="3" fontId="11" fillId="0" borderId="0" xfId="0" applyNumberFormat="1" applyFont="1"/>
    <xf numFmtId="165" fontId="11" fillId="3" borderId="3" xfId="0" applyNumberFormat="1" applyFont="1" applyFill="1" applyBorder="1"/>
    <xf numFmtId="1" fontId="11" fillId="3" borderId="3" xfId="0" applyNumberFormat="1" applyFont="1" applyFill="1" applyBorder="1"/>
    <xf numFmtId="1" fontId="9" fillId="2" borderId="3" xfId="0" applyNumberFormat="1" applyFont="1" applyFill="1" applyBorder="1"/>
    <xf numFmtId="165" fontId="9" fillId="3" borderId="3" xfId="0" applyNumberFormat="1" applyFont="1" applyFill="1" applyBorder="1"/>
    <xf numFmtId="165" fontId="9" fillId="3" borderId="6" xfId="0" applyNumberFormat="1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0" fontId="9" fillId="2" borderId="0" xfId="0" applyFont="1" applyFill="1"/>
    <xf numFmtId="0" fontId="11" fillId="3" borderId="3" xfId="0" applyFont="1" applyFill="1" applyBorder="1"/>
    <xf numFmtId="2" fontId="11" fillId="3" borderId="3" xfId="0" applyNumberFormat="1" applyFont="1" applyFill="1" applyBorder="1"/>
    <xf numFmtId="1" fontId="9" fillId="3" borderId="3" xfId="0" applyNumberFormat="1" applyFont="1" applyFill="1" applyBorder="1"/>
    <xf numFmtId="0" fontId="14" fillId="3" borderId="3" xfId="0" applyFont="1" applyFill="1" applyBorder="1"/>
    <xf numFmtId="0" fontId="9" fillId="2" borderId="3" xfId="0" applyFont="1" applyFill="1" applyBorder="1"/>
    <xf numFmtId="0" fontId="32" fillId="0" borderId="0" xfId="0" applyFont="1" applyFill="1"/>
    <xf numFmtId="1" fontId="9" fillId="0" borderId="3" xfId="0" applyNumberFormat="1" applyFont="1" applyFill="1" applyBorder="1"/>
    <xf numFmtId="165" fontId="9" fillId="0" borderId="3" xfId="0" applyNumberFormat="1" applyFont="1" applyFill="1" applyBorder="1"/>
    <xf numFmtId="1" fontId="9" fillId="3" borderId="6" xfId="0" applyNumberFormat="1" applyFont="1" applyFill="1" applyBorder="1"/>
    <xf numFmtId="0" fontId="22" fillId="3" borderId="0" xfId="0" applyFont="1" applyFill="1"/>
    <xf numFmtId="0" fontId="32" fillId="3" borderId="0" xfId="0" applyFont="1" applyFill="1"/>
    <xf numFmtId="0" fontId="37" fillId="2" borderId="0" xfId="0" applyFont="1" applyFill="1" applyBorder="1"/>
    <xf numFmtId="0" fontId="36" fillId="2" borderId="0" xfId="0" applyFont="1" applyFill="1" applyBorder="1"/>
    <xf numFmtId="1" fontId="11" fillId="2" borderId="3" xfId="0" applyNumberFormat="1" applyFont="1" applyFill="1" applyBorder="1" applyAlignment="1">
      <alignment horizontal="right"/>
    </xf>
    <xf numFmtId="166" fontId="32" fillId="2" borderId="0" xfId="1" applyNumberFormat="1" applyFont="1" applyFill="1"/>
    <xf numFmtId="168" fontId="32" fillId="0" borderId="0" xfId="0" applyNumberFormat="1" applyFont="1" applyFill="1"/>
    <xf numFmtId="1" fontId="9" fillId="2" borderId="6" xfId="0" applyNumberFormat="1" applyFont="1" applyFill="1" applyBorder="1"/>
    <xf numFmtId="0" fontId="32" fillId="2" borderId="0" xfId="0" applyFont="1" applyFill="1"/>
    <xf numFmtId="2" fontId="9" fillId="0" borderId="6" xfId="0" applyNumberFormat="1" applyFont="1" applyFill="1" applyBorder="1"/>
    <xf numFmtId="168" fontId="32" fillId="3" borderId="0" xfId="0" applyNumberFormat="1" applyFont="1" applyFill="1"/>
    <xf numFmtId="165" fontId="32" fillId="3" borderId="0" xfId="2" applyNumberFormat="1" applyFont="1" applyFill="1"/>
    <xf numFmtId="165" fontId="32" fillId="3" borderId="0" xfId="0" applyNumberFormat="1" applyFont="1" applyFill="1"/>
    <xf numFmtId="165" fontId="11" fillId="3" borderId="0" xfId="2" applyNumberFormat="1" applyFont="1" applyFill="1"/>
    <xf numFmtId="165" fontId="11" fillId="3" borderId="0" xfId="0" applyNumberFormat="1" applyFont="1" applyFill="1"/>
    <xf numFmtId="0" fontId="32" fillId="2" borderId="0" xfId="0" applyFont="1" applyFill="1" applyAlignment="1">
      <alignment horizontal="right"/>
    </xf>
    <xf numFmtId="0" fontId="9" fillId="0" borderId="0" xfId="0" applyFont="1"/>
    <xf numFmtId="0" fontId="6" fillId="0" borderId="0" xfId="52"/>
    <xf numFmtId="1" fontId="9" fillId="2" borderId="3" xfId="0" quotePrefix="1" applyNumberFormat="1" applyFont="1" applyFill="1" applyBorder="1"/>
    <xf numFmtId="0" fontId="9" fillId="3" borderId="3" xfId="0" applyFont="1" applyFill="1" applyBorder="1"/>
    <xf numFmtId="0" fontId="40" fillId="0" borderId="3" xfId="0" applyFont="1" applyFill="1" applyBorder="1"/>
    <xf numFmtId="9" fontId="11" fillId="2" borderId="3" xfId="0" applyNumberFormat="1" applyFont="1" applyFill="1" applyBorder="1"/>
    <xf numFmtId="0" fontId="9" fillId="2" borderId="3" xfId="0" applyFont="1" applyFill="1" applyBorder="1" applyAlignment="1">
      <alignment horizontal="left"/>
    </xf>
    <xf numFmtId="2" fontId="11" fillId="0" borderId="6" xfId="0" applyNumberFormat="1" applyFont="1" applyFill="1" applyBorder="1"/>
    <xf numFmtId="0" fontId="9" fillId="0" borderId="3" xfId="0" applyFont="1" applyFill="1" applyBorder="1"/>
    <xf numFmtId="0" fontId="9" fillId="0" borderId="0" xfId="4" applyFont="1"/>
    <xf numFmtId="0" fontId="27" fillId="0" borderId="0" xfId="4" applyFont="1"/>
    <xf numFmtId="0" fontId="27" fillId="0" borderId="0" xfId="4" applyFont="1" applyFill="1" applyBorder="1"/>
    <xf numFmtId="0" fontId="9" fillId="0" borderId="0" xfId="4" applyFont="1" applyFill="1" applyBorder="1"/>
    <xf numFmtId="0" fontId="21" fillId="0" borderId="0" xfId="4" applyFont="1" applyFill="1"/>
    <xf numFmtId="0" fontId="17" fillId="0" borderId="0" xfId="4" applyFont="1" applyFill="1"/>
    <xf numFmtId="0" fontId="35" fillId="0" borderId="0" xfId="4" applyFont="1" applyFill="1"/>
    <xf numFmtId="0" fontId="33" fillId="0" borderId="0" xfId="4" applyFont="1" applyFill="1"/>
    <xf numFmtId="0" fontId="17" fillId="0" borderId="0" xfId="4" applyFont="1" applyFill="1" applyBorder="1"/>
    <xf numFmtId="165" fontId="17" fillId="0" borderId="0" xfId="4" applyNumberFormat="1" applyFont="1" applyFill="1" applyBorder="1"/>
    <xf numFmtId="167" fontId="17" fillId="0" borderId="0" xfId="4" applyNumberFormat="1" applyFont="1" applyFill="1"/>
    <xf numFmtId="167" fontId="17" fillId="0" borderId="0" xfId="4" applyNumberFormat="1" applyFont="1" applyFill="1" applyBorder="1"/>
    <xf numFmtId="0" fontId="9" fillId="2" borderId="0" xfId="4" applyFont="1" applyFill="1"/>
    <xf numFmtId="0" fontId="58" fillId="0" borderId="0" xfId="4" applyFont="1" applyFill="1" applyBorder="1"/>
    <xf numFmtId="0" fontId="32" fillId="0" borderId="0" xfId="4" applyFont="1" applyFill="1" applyBorder="1"/>
    <xf numFmtId="0" fontId="59" fillId="0" borderId="0" xfId="4" applyFont="1" applyFill="1" applyBorder="1"/>
    <xf numFmtId="0" fontId="14" fillId="2" borderId="0" xfId="4" applyFont="1" applyFill="1"/>
    <xf numFmtId="0" fontId="60" fillId="0" borderId="0" xfId="4" applyFont="1" applyFill="1" applyBorder="1" applyAlignment="1">
      <alignment horizontal="center"/>
    </xf>
    <xf numFmtId="0" fontId="59" fillId="0" borderId="0" xfId="4" applyFont="1" applyFill="1" applyBorder="1" applyAlignment="1">
      <alignment horizontal="center"/>
    </xf>
    <xf numFmtId="0" fontId="24" fillId="2" borderId="0" xfId="4" applyFont="1" applyFill="1"/>
    <xf numFmtId="0" fontId="30" fillId="2" borderId="1" xfId="4" applyFont="1" applyFill="1" applyBorder="1" applyAlignment="1">
      <alignment horizontal="center"/>
    </xf>
    <xf numFmtId="0" fontId="30" fillId="0" borderId="1" xfId="4" applyFont="1" applyFill="1" applyBorder="1" applyAlignment="1">
      <alignment horizontal="center"/>
    </xf>
    <xf numFmtId="0" fontId="61" fillId="0" borderId="0" xfId="4" applyFont="1" applyFill="1" applyBorder="1" applyAlignment="1">
      <alignment horizontal="center"/>
    </xf>
    <xf numFmtId="0" fontId="24" fillId="0" borderId="0" xfId="4" applyFont="1" applyFill="1" applyBorder="1"/>
    <xf numFmtId="0" fontId="24" fillId="0" borderId="0" xfId="4" applyFont="1"/>
    <xf numFmtId="0" fontId="14" fillId="2" borderId="5" xfId="4" applyFont="1" applyFill="1" applyBorder="1"/>
    <xf numFmtId="0" fontId="14" fillId="2" borderId="2" xfId="4" applyFont="1" applyFill="1" applyBorder="1"/>
    <xf numFmtId="0" fontId="62" fillId="0" borderId="0" xfId="4" applyFont="1" applyFill="1" applyBorder="1"/>
    <xf numFmtId="0" fontId="24" fillId="2" borderId="6" xfId="4" applyFont="1" applyFill="1" applyBorder="1"/>
    <xf numFmtId="0" fontId="24" fillId="2" borderId="3" xfId="4" applyFont="1" applyFill="1" applyBorder="1"/>
    <xf numFmtId="0" fontId="9" fillId="2" borderId="6" xfId="4" applyFont="1" applyFill="1" applyBorder="1"/>
    <xf numFmtId="1" fontId="9" fillId="3" borderId="6" xfId="4" applyNumberFormat="1" applyFont="1" applyFill="1" applyBorder="1"/>
    <xf numFmtId="1" fontId="9" fillId="3" borderId="3" xfId="4" applyNumberFormat="1" applyFont="1" applyFill="1" applyBorder="1"/>
    <xf numFmtId="165" fontId="9" fillId="0" borderId="0" xfId="4" applyNumberFormat="1" applyFont="1" applyFill="1" applyBorder="1"/>
    <xf numFmtId="1" fontId="59" fillId="0" borderId="0" xfId="4" applyNumberFormat="1" applyFont="1" applyFill="1" applyBorder="1"/>
    <xf numFmtId="0" fontId="9" fillId="0" borderId="6" xfId="4" applyFont="1" applyFill="1" applyBorder="1"/>
    <xf numFmtId="165" fontId="9" fillId="2" borderId="6" xfId="4" applyNumberFormat="1" applyFont="1" applyFill="1" applyBorder="1"/>
    <xf numFmtId="165" fontId="9" fillId="3" borderId="6" xfId="4" applyNumberFormat="1" applyFont="1" applyFill="1" applyBorder="1"/>
    <xf numFmtId="165" fontId="9" fillId="3" borderId="3" xfId="4" applyNumberFormat="1" applyFont="1" applyFill="1" applyBorder="1"/>
    <xf numFmtId="165" fontId="59" fillId="0" borderId="0" xfId="4" applyNumberFormat="1" applyFont="1" applyFill="1" applyBorder="1"/>
    <xf numFmtId="9" fontId="9" fillId="2" borderId="3" xfId="1" applyFont="1" applyFill="1" applyBorder="1"/>
    <xf numFmtId="9" fontId="9" fillId="3" borderId="3" xfId="1" applyFont="1" applyFill="1" applyBorder="1"/>
    <xf numFmtId="9" fontId="59" fillId="0" borderId="0" xfId="4" applyNumberFormat="1" applyFont="1" applyFill="1" applyBorder="1"/>
    <xf numFmtId="1" fontId="9" fillId="2" borderId="3" xfId="4" applyNumberFormat="1" applyFont="1" applyFill="1" applyBorder="1"/>
    <xf numFmtId="1" fontId="9" fillId="3" borderId="0" xfId="4" applyNumberFormat="1" applyFont="1" applyFill="1"/>
    <xf numFmtId="1" fontId="9" fillId="2" borderId="6" xfId="4" applyNumberFormat="1" applyFont="1" applyFill="1" applyBorder="1"/>
    <xf numFmtId="1" fontId="9" fillId="3" borderId="6" xfId="4" applyNumberFormat="1" applyFont="1" applyFill="1" applyBorder="1" applyAlignment="1">
      <alignment horizontal="right"/>
    </xf>
    <xf numFmtId="2" fontId="59" fillId="0" borderId="0" xfId="4" applyNumberFormat="1" applyFont="1" applyFill="1" applyBorder="1"/>
    <xf numFmtId="0" fontId="9" fillId="3" borderId="6" xfId="4" applyFont="1" applyFill="1" applyBorder="1"/>
    <xf numFmtId="0" fontId="9" fillId="3" borderId="3" xfId="4" applyFont="1" applyFill="1" applyBorder="1"/>
    <xf numFmtId="0" fontId="32" fillId="0" borderId="6" xfId="4" applyFont="1" applyFill="1" applyBorder="1"/>
    <xf numFmtId="0" fontId="9" fillId="2" borderId="3" xfId="4" applyFont="1" applyFill="1" applyBorder="1"/>
    <xf numFmtId="2" fontId="9" fillId="3" borderId="6" xfId="4" applyNumberFormat="1" applyFont="1" applyFill="1" applyBorder="1"/>
    <xf numFmtId="2" fontId="9" fillId="3" borderId="3" xfId="4" applyNumberFormat="1" applyFont="1" applyFill="1" applyBorder="1"/>
    <xf numFmtId="0" fontId="18" fillId="2" borderId="6" xfId="4" applyFont="1" applyFill="1" applyBorder="1"/>
    <xf numFmtId="2" fontId="18" fillId="3" borderId="3" xfId="4" applyNumberFormat="1" applyFont="1" applyFill="1" applyBorder="1"/>
    <xf numFmtId="2" fontId="18" fillId="0" borderId="3" xfId="4" applyNumberFormat="1" applyFont="1" applyFill="1" applyBorder="1"/>
    <xf numFmtId="0" fontId="63" fillId="0" borderId="0" xfId="4" applyFont="1" applyFill="1" applyBorder="1"/>
    <xf numFmtId="0" fontId="64" fillId="0" borderId="0" xfId="4" applyFont="1" applyFill="1" applyBorder="1"/>
    <xf numFmtId="2" fontId="18" fillId="3" borderId="6" xfId="4" applyNumberFormat="1" applyFont="1" applyFill="1" applyBorder="1"/>
    <xf numFmtId="0" fontId="19" fillId="0" borderId="0" xfId="4" applyFont="1" applyFill="1" applyBorder="1"/>
    <xf numFmtId="0" fontId="18" fillId="0" borderId="0" xfId="4" applyFont="1" applyFill="1" applyBorder="1" applyAlignment="1">
      <alignment wrapText="1"/>
    </xf>
    <xf numFmtId="2" fontId="64" fillId="0" borderId="0" xfId="4" applyNumberFormat="1" applyFont="1" applyFill="1" applyBorder="1"/>
    <xf numFmtId="0" fontId="14" fillId="2" borderId="6" xfId="4" applyFont="1" applyFill="1" applyBorder="1"/>
    <xf numFmtId="0" fontId="14" fillId="3" borderId="6" xfId="4" applyFont="1" applyFill="1" applyBorder="1"/>
    <xf numFmtId="0" fontId="14" fillId="3" borderId="3" xfId="4" applyFont="1" applyFill="1" applyBorder="1"/>
    <xf numFmtId="1" fontId="9" fillId="0" borderId="0" xfId="4" applyNumberFormat="1" applyFont="1" applyFill="1" applyBorder="1"/>
    <xf numFmtId="2" fontId="18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2" fontId="9" fillId="2" borderId="3" xfId="4" applyNumberFormat="1" applyFont="1" applyFill="1" applyBorder="1"/>
    <xf numFmtId="0" fontId="65" fillId="0" borderId="0" xfId="4" applyFont="1" applyFill="1" applyBorder="1"/>
    <xf numFmtId="0" fontId="9" fillId="2" borderId="7" xfId="4" applyFont="1" applyFill="1" applyBorder="1"/>
    <xf numFmtId="0" fontId="18" fillId="2" borderId="0" xfId="4" applyFont="1" applyFill="1"/>
    <xf numFmtId="0" fontId="19" fillId="2" borderId="0" xfId="4" applyFont="1" applyFill="1"/>
    <xf numFmtId="2" fontId="9" fillId="0" borderId="0" xfId="4" applyNumberFormat="1" applyFont="1" applyFill="1" applyBorder="1"/>
    <xf numFmtId="0" fontId="14" fillId="0" borderId="0" xfId="4" applyFont="1" applyFill="1" applyBorder="1"/>
    <xf numFmtId="0" fontId="9" fillId="0" borderId="0" xfId="4" applyFont="1" applyFill="1"/>
    <xf numFmtId="0" fontId="18" fillId="0" borderId="0" xfId="4" applyFont="1" applyFill="1"/>
    <xf numFmtId="0" fontId="20" fillId="0" borderId="0" xfId="4" applyFont="1" applyFill="1"/>
    <xf numFmtId="0" fontId="19" fillId="0" borderId="0" xfId="4" applyFont="1" applyFill="1"/>
    <xf numFmtId="0" fontId="14" fillId="0" borderId="0" xfId="4" applyFont="1"/>
    <xf numFmtId="0" fontId="10" fillId="0" borderId="0" xfId="4" applyFont="1" applyFill="1"/>
    <xf numFmtId="0" fontId="14" fillId="0" borderId="0" xfId="4" applyFont="1" applyFill="1" applyBorder="1" applyAlignment="1">
      <alignment horizontal="center"/>
    </xf>
    <xf numFmtId="0" fontId="9" fillId="0" borderId="0" xfId="4" applyFill="1" applyBorder="1" applyAlignment="1">
      <alignment horizontal="center"/>
    </xf>
    <xf numFmtId="0" fontId="30" fillId="0" borderId="0" xfId="4" applyFont="1" applyFill="1" applyBorder="1" applyAlignment="1">
      <alignment horizontal="center"/>
    </xf>
    <xf numFmtId="1" fontId="32" fillId="0" borderId="0" xfId="4" applyNumberFormat="1" applyFont="1" applyFill="1" applyBorder="1"/>
    <xf numFmtId="2" fontId="32" fillId="0" borderId="0" xfId="4" applyNumberFormat="1" applyFont="1" applyFill="1" applyBorder="1"/>
    <xf numFmtId="3" fontId="9" fillId="0" borderId="0" xfId="4" applyNumberFormat="1" applyFont="1" applyFill="1" applyBorder="1"/>
    <xf numFmtId="9" fontId="9" fillId="2" borderId="6" xfId="1" applyFont="1" applyFill="1" applyBorder="1"/>
    <xf numFmtId="2" fontId="9" fillId="2" borderId="6" xfId="4" applyNumberFormat="1" applyFont="1" applyFill="1" applyBorder="1"/>
    <xf numFmtId="2" fontId="18" fillId="2" borderId="6" xfId="4" applyNumberFormat="1" applyFont="1" applyFill="1" applyBorder="1"/>
    <xf numFmtId="1" fontId="9" fillId="0" borderId="8" xfId="4" applyNumberFormat="1" applyFont="1" applyBorder="1"/>
    <xf numFmtId="165" fontId="9" fillId="2" borderId="3" xfId="4" applyNumberFormat="1" applyFont="1" applyFill="1" applyBorder="1"/>
    <xf numFmtId="1" fontId="9" fillId="0" borderId="6" xfId="4" applyNumberFormat="1" applyFont="1" applyFill="1" applyBorder="1"/>
    <xf numFmtId="9" fontId="9" fillId="3" borderId="3" xfId="1" applyNumberFormat="1" applyFont="1" applyFill="1" applyBorder="1"/>
    <xf numFmtId="1" fontId="32" fillId="0" borderId="6" xfId="4" applyNumberFormat="1" applyFont="1" applyFill="1" applyBorder="1"/>
    <xf numFmtId="0" fontId="14" fillId="2" borderId="3" xfId="4" applyFont="1" applyFill="1" applyBorder="1"/>
    <xf numFmtId="2" fontId="9" fillId="0" borderId="6" xfId="4" applyNumberFormat="1" applyFont="1" applyFill="1" applyBorder="1"/>
    <xf numFmtId="165" fontId="9" fillId="0" borderId="6" xfId="4" applyNumberFormat="1" applyFont="1" applyFill="1" applyBorder="1"/>
    <xf numFmtId="0" fontId="14" fillId="2" borderId="18" xfId="4" applyFont="1" applyFill="1" applyBorder="1"/>
    <xf numFmtId="0" fontId="24" fillId="2" borderId="0" xfId="4" applyFont="1" applyFill="1" applyBorder="1"/>
    <xf numFmtId="1" fontId="9" fillId="3" borderId="0" xfId="4" applyNumberFormat="1" applyFont="1" applyFill="1" applyBorder="1"/>
    <xf numFmtId="0" fontId="9" fillId="0" borderId="3" xfId="4" applyFont="1" applyFill="1" applyBorder="1"/>
    <xf numFmtId="165" fontId="9" fillId="3" borderId="0" xfId="4" applyNumberFormat="1" applyFont="1" applyFill="1" applyBorder="1"/>
    <xf numFmtId="1" fontId="31" fillId="2" borderId="3" xfId="4" applyNumberFormat="1" applyFont="1" applyFill="1" applyBorder="1"/>
    <xf numFmtId="9" fontId="9" fillId="3" borderId="8" xfId="1" applyNumberFormat="1" applyFont="1" applyFill="1" applyBorder="1"/>
    <xf numFmtId="0" fontId="9" fillId="2" borderId="8" xfId="4" applyFont="1" applyFill="1" applyBorder="1"/>
    <xf numFmtId="2" fontId="9" fillId="3" borderId="8" xfId="4" applyNumberFormat="1" applyFont="1" applyFill="1" applyBorder="1"/>
    <xf numFmtId="0" fontId="18" fillId="2" borderId="3" xfId="4" applyFont="1" applyFill="1" applyBorder="1"/>
    <xf numFmtId="2" fontId="18" fillId="3" borderId="8" xfId="4" applyNumberFormat="1" applyFont="1" applyFill="1" applyBorder="1"/>
    <xf numFmtId="0" fontId="9" fillId="3" borderId="0" xfId="4" applyFont="1" applyFill="1" applyBorder="1"/>
    <xf numFmtId="0" fontId="14" fillId="2" borderId="0" xfId="4" applyFont="1" applyFill="1" applyBorder="1"/>
    <xf numFmtId="0" fontId="9" fillId="2" borderId="0" xfId="4" applyFont="1" applyFill="1" applyBorder="1"/>
    <xf numFmtId="0" fontId="9" fillId="2" borderId="4" xfId="4" applyFont="1" applyFill="1" applyBorder="1"/>
    <xf numFmtId="1" fontId="9" fillId="3" borderId="8" xfId="4" applyNumberFormat="1" applyFont="1" applyFill="1" applyBorder="1"/>
    <xf numFmtId="2" fontId="9" fillId="0" borderId="3" xfId="4" applyNumberFormat="1" applyFont="1" applyFill="1" applyBorder="1"/>
    <xf numFmtId="165" fontId="9" fillId="0" borderId="3" xfId="4" applyNumberFormat="1" applyFont="1" applyFill="1" applyBorder="1"/>
    <xf numFmtId="1" fontId="9" fillId="0" borderId="3" xfId="4" applyNumberFormat="1" applyFont="1" applyFill="1" applyBorder="1"/>
    <xf numFmtId="9" fontId="9" fillId="2" borderId="3" xfId="1" applyNumberFormat="1" applyFont="1" applyFill="1" applyBorder="1"/>
    <xf numFmtId="2" fontId="18" fillId="2" borderId="3" xfId="4" applyNumberFormat="1" applyFont="1" applyFill="1" applyBorder="1"/>
    <xf numFmtId="0" fontId="28" fillId="0" borderId="0" xfId="4" applyFont="1"/>
    <xf numFmtId="0" fontId="12" fillId="0" borderId="0" xfId="4" applyFont="1"/>
    <xf numFmtId="0" fontId="23" fillId="0" borderId="0" xfId="4" applyFont="1" applyFill="1"/>
    <xf numFmtId="0" fontId="16" fillId="0" borderId="0" xfId="4" applyFont="1"/>
    <xf numFmtId="0" fontId="22" fillId="0" borderId="0" xfId="4" applyFont="1" applyFill="1"/>
    <xf numFmtId="0" fontId="22" fillId="2" borderId="0" xfId="4" applyFont="1" applyFill="1"/>
    <xf numFmtId="1" fontId="16" fillId="0" borderId="0" xfId="4" applyNumberFormat="1" applyFont="1"/>
    <xf numFmtId="9" fontId="9" fillId="3" borderId="3" xfId="4" applyNumberFormat="1" applyFont="1" applyFill="1" applyBorder="1"/>
    <xf numFmtId="0" fontId="16" fillId="0" borderId="0" xfId="4" applyFont="1" applyFill="1"/>
    <xf numFmtId="0" fontId="36" fillId="0" borderId="0" xfId="4" applyFont="1" applyFill="1"/>
    <xf numFmtId="0" fontId="20" fillId="2" borderId="0" xfId="4" applyFont="1" applyFill="1"/>
    <xf numFmtId="0" fontId="41" fillId="0" borderId="0" xfId="4" applyFont="1" applyFill="1"/>
    <xf numFmtId="9" fontId="59" fillId="0" borderId="0" xfId="1" applyFont="1" applyFill="1" applyBorder="1"/>
    <xf numFmtId="0" fontId="18" fillId="3" borderId="0" xfId="0" applyFont="1" applyFill="1"/>
    <xf numFmtId="9" fontId="11" fillId="3" borderId="3" xfId="1" applyNumberFormat="1" applyFont="1" applyFill="1" applyBorder="1"/>
    <xf numFmtId="9" fontId="11" fillId="2" borderId="3" xfId="1" applyNumberFormat="1" applyFont="1" applyFill="1" applyBorder="1"/>
    <xf numFmtId="9" fontId="11" fillId="0" borderId="3" xfId="0" applyNumberFormat="1" applyFont="1" applyFill="1" applyBorder="1"/>
    <xf numFmtId="165" fontId="9" fillId="2" borderId="3" xfId="0" applyNumberFormat="1" applyFont="1" applyFill="1" applyBorder="1"/>
    <xf numFmtId="2" fontId="11" fillId="2" borderId="6" xfId="0" applyNumberFormat="1" applyFont="1" applyFill="1" applyBorder="1"/>
    <xf numFmtId="0" fontId="66" fillId="2" borderId="0" xfId="0" applyFont="1" applyFill="1"/>
    <xf numFmtId="2" fontId="9" fillId="3" borderId="6" xfId="0" applyNumberFormat="1" applyFont="1" applyFill="1" applyBorder="1"/>
    <xf numFmtId="3" fontId="9" fillId="3" borderId="3" xfId="0" applyNumberFormat="1" applyFont="1" applyFill="1" applyBorder="1"/>
    <xf numFmtId="9" fontId="9" fillId="2" borderId="3" xfId="0" applyNumberFormat="1" applyFont="1" applyFill="1" applyBorder="1"/>
    <xf numFmtId="9" fontId="9" fillId="3" borderId="3" xfId="0" applyNumberFormat="1" applyFont="1" applyFill="1" applyBorder="1"/>
    <xf numFmtId="2" fontId="9" fillId="3" borderId="3" xfId="0" applyNumberFormat="1" applyFont="1" applyFill="1" applyBorder="1"/>
    <xf numFmtId="168" fontId="9" fillId="3" borderId="3" xfId="0" applyNumberFormat="1" applyFont="1" applyFill="1" applyBorder="1"/>
    <xf numFmtId="4" fontId="9" fillId="3" borderId="3" xfId="0" applyNumberFormat="1" applyFont="1" applyFill="1" applyBorder="1"/>
    <xf numFmtId="4" fontId="9" fillId="0" borderId="3" xfId="2" applyNumberFormat="1" applyFont="1" applyFill="1" applyBorder="1"/>
    <xf numFmtId="1" fontId="9" fillId="3" borderId="0" xfId="0" applyNumberFormat="1" applyFont="1" applyFill="1"/>
    <xf numFmtId="0" fontId="66" fillId="2" borderId="0" xfId="4" applyFont="1" applyFill="1"/>
    <xf numFmtId="165" fontId="9" fillId="3" borderId="8" xfId="0" applyNumberFormat="1" applyFont="1" applyFill="1" applyBorder="1"/>
    <xf numFmtId="165" fontId="9" fillId="3" borderId="3" xfId="55" applyNumberFormat="1" applyFont="1" applyFill="1" applyBorder="1"/>
    <xf numFmtId="2" fontId="9" fillId="2" borderId="6" xfId="0" applyNumberFormat="1" applyFont="1" applyFill="1" applyBorder="1"/>
    <xf numFmtId="2" fontId="18" fillId="2" borderId="6" xfId="0" applyNumberFormat="1" applyFont="1" applyFill="1" applyBorder="1"/>
    <xf numFmtId="0" fontId="66" fillId="3" borderId="0" xfId="0" applyFont="1" applyFill="1"/>
    <xf numFmtId="0" fontId="20" fillId="3" borderId="0" xfId="0" applyFont="1" applyFill="1"/>
    <xf numFmtId="0" fontId="11" fillId="3" borderId="0" xfId="0" applyFont="1" applyFill="1"/>
    <xf numFmtId="0" fontId="66" fillId="3" borderId="0" xfId="0" quotePrefix="1" applyFont="1" applyFill="1"/>
    <xf numFmtId="0" fontId="18" fillId="3" borderId="0" xfId="0" quotePrefix="1" applyFont="1" applyFill="1"/>
    <xf numFmtId="2" fontId="11" fillId="3" borderId="6" xfId="0" applyNumberFormat="1" applyFont="1" applyFill="1" applyBorder="1"/>
    <xf numFmtId="165" fontId="9" fillId="2" borderId="6" xfId="0" applyNumberFormat="1" applyFont="1" applyFill="1" applyBorder="1"/>
    <xf numFmtId="1" fontId="9" fillId="0" borderId="6" xfId="0" applyNumberFormat="1" applyFont="1" applyFill="1" applyBorder="1"/>
    <xf numFmtId="165" fontId="9" fillId="0" borderId="6" xfId="0" applyNumberFormat="1" applyFont="1" applyFill="1" applyBorder="1"/>
    <xf numFmtId="165" fontId="9" fillId="2" borderId="3" xfId="0" applyNumberFormat="1" applyFont="1" applyFill="1" applyBorder="1" applyAlignment="1">
      <alignment horizontal="right"/>
    </xf>
    <xf numFmtId="165" fontId="9" fillId="2" borderId="8" xfId="4" applyNumberFormat="1" applyFont="1" applyFill="1" applyBorder="1"/>
    <xf numFmtId="0" fontId="5" fillId="0" borderId="0" xfId="54" applyFill="1"/>
    <xf numFmtId="9" fontId="9" fillId="0" borderId="3" xfId="1" applyNumberFormat="1" applyFont="1" applyFill="1" applyBorder="1"/>
    <xf numFmtId="0" fontId="36" fillId="3" borderId="0" xfId="4" applyFont="1" applyFill="1"/>
    <xf numFmtId="0" fontId="66" fillId="0" borderId="0" xfId="0" applyFont="1" applyFill="1"/>
    <xf numFmtId="0" fontId="3" fillId="0" borderId="0" xfId="58"/>
    <xf numFmtId="0" fontId="3" fillId="3" borderId="0" xfId="58" applyFill="1"/>
    <xf numFmtId="0" fontId="14" fillId="3" borderId="2" xfId="4" applyFont="1" applyFill="1" applyBorder="1" applyAlignment="1">
      <alignment horizontal="center"/>
    </xf>
    <xf numFmtId="169" fontId="3" fillId="3" borderId="0" xfId="58" applyNumberFormat="1" applyFill="1"/>
    <xf numFmtId="0" fontId="70" fillId="3" borderId="0" xfId="58" applyFont="1" applyFill="1"/>
    <xf numFmtId="0" fontId="69" fillId="3" borderId="3" xfId="58" applyFont="1" applyFill="1" applyBorder="1"/>
    <xf numFmtId="165" fontId="69" fillId="3" borderId="3" xfId="58" applyNumberFormat="1" applyFont="1" applyFill="1" applyBorder="1"/>
    <xf numFmtId="0" fontId="69" fillId="3" borderId="8" xfId="58" applyFont="1" applyFill="1" applyBorder="1"/>
    <xf numFmtId="0" fontId="69" fillId="3" borderId="3" xfId="58" applyFont="1" applyFill="1" applyBorder="1" applyAlignment="1">
      <alignment wrapText="1"/>
    </xf>
    <xf numFmtId="0" fontId="69" fillId="3" borderId="4" xfId="58" applyFont="1" applyFill="1" applyBorder="1" applyAlignment="1">
      <alignment wrapText="1"/>
    </xf>
    <xf numFmtId="0" fontId="69" fillId="0" borderId="0" xfId="58" applyFont="1"/>
    <xf numFmtId="10" fontId="11" fillId="0" borderId="0" xfId="1" applyNumberFormat="1" applyFont="1"/>
    <xf numFmtId="0" fontId="18" fillId="0" borderId="0" xfId="0" applyFont="1" applyFill="1"/>
    <xf numFmtId="0" fontId="18" fillId="3" borderId="0" xfId="4" applyFont="1" applyFill="1"/>
    <xf numFmtId="0" fontId="68" fillId="3" borderId="0" xfId="4" applyFont="1" applyFill="1"/>
    <xf numFmtId="0" fontId="67" fillId="3" borderId="0" xfId="4" applyFont="1" applyFill="1"/>
    <xf numFmtId="9" fontId="9" fillId="0" borderId="3" xfId="1" applyFont="1" applyFill="1" applyBorder="1"/>
    <xf numFmtId="0" fontId="14" fillId="3" borderId="8" xfId="4" applyFont="1" applyFill="1" applyBorder="1"/>
    <xf numFmtId="0" fontId="40" fillId="3" borderId="3" xfId="0" applyFont="1" applyFill="1" applyBorder="1"/>
    <xf numFmtId="0" fontId="66" fillId="3" borderId="0" xfId="4" applyFont="1" applyFill="1" applyBorder="1"/>
    <xf numFmtId="0" fontId="54" fillId="3" borderId="0" xfId="58" applyFont="1" applyFill="1" applyBorder="1"/>
    <xf numFmtId="0" fontId="18" fillId="3" borderId="0" xfId="4" applyFont="1" applyFill="1" applyBorder="1"/>
    <xf numFmtId="0" fontId="71" fillId="3" borderId="0" xfId="58" applyFont="1" applyFill="1" applyBorder="1"/>
    <xf numFmtId="0" fontId="3" fillId="3" borderId="0" xfId="58" applyFill="1" applyBorder="1"/>
    <xf numFmtId="0" fontId="3" fillId="0" borderId="0" xfId="58" applyFill="1"/>
    <xf numFmtId="0" fontId="71" fillId="3" borderId="0" xfId="58" applyFont="1" applyFill="1"/>
    <xf numFmtId="165" fontId="3" fillId="3" borderId="0" xfId="58" applyNumberFormat="1" applyFill="1"/>
    <xf numFmtId="0" fontId="72" fillId="2" borderId="0" xfId="4" applyFont="1" applyFill="1" applyAlignment="1">
      <alignment horizontal="left"/>
    </xf>
    <xf numFmtId="0" fontId="32" fillId="2" borderId="0" xfId="4" applyFont="1" applyFill="1"/>
    <xf numFmtId="165" fontId="9" fillId="3" borderId="8" xfId="4" applyNumberFormat="1" applyFont="1" applyFill="1" applyBorder="1"/>
    <xf numFmtId="2" fontId="69" fillId="3" borderId="8" xfId="58" applyNumberFormat="1" applyFont="1" applyFill="1" applyBorder="1"/>
    <xf numFmtId="170" fontId="0" fillId="0" borderId="0" xfId="0" applyNumberFormat="1"/>
    <xf numFmtId="171" fontId="12" fillId="0" borderId="0" xfId="1" applyNumberFormat="1" applyFont="1"/>
    <xf numFmtId="165" fontId="0" fillId="0" borderId="3" xfId="0" applyNumberFormat="1" applyFill="1" applyBorder="1" applyAlignment="1">
      <alignment horizontal="right"/>
    </xf>
    <xf numFmtId="0" fontId="12" fillId="3" borderId="0" xfId="0" applyFont="1" applyFill="1"/>
    <xf numFmtId="0" fontId="41" fillId="3" borderId="0" xfId="0" applyFont="1" applyFill="1"/>
    <xf numFmtId="170" fontId="0" fillId="3" borderId="0" xfId="0" applyNumberFormat="1" applyFill="1"/>
    <xf numFmtId="2" fontId="11" fillId="0" borderId="6" xfId="0" applyNumberFormat="1" applyFont="1" applyFill="1" applyBorder="1" applyAlignment="1"/>
    <xf numFmtId="0" fontId="70" fillId="3" borderId="19" xfId="58" applyFont="1" applyFill="1" applyBorder="1" applyAlignment="1">
      <alignment horizontal="center"/>
    </xf>
    <xf numFmtId="0" fontId="70" fillId="3" borderId="2" xfId="58" applyFont="1" applyFill="1" applyBorder="1" applyAlignment="1">
      <alignment horizontal="center"/>
    </xf>
    <xf numFmtId="3" fontId="9" fillId="2" borderId="6" xfId="4" applyNumberFormat="1" applyFont="1" applyFill="1" applyBorder="1"/>
    <xf numFmtId="168" fontId="9" fillId="2" borderId="6" xfId="4" applyNumberFormat="1" applyFont="1" applyFill="1" applyBorder="1"/>
    <xf numFmtId="0" fontId="14" fillId="2" borderId="19" xfId="4" applyFont="1" applyFill="1" applyBorder="1"/>
    <xf numFmtId="168" fontId="9" fillId="2" borderId="3" xfId="4" applyNumberFormat="1" applyFont="1" applyFill="1" applyBorder="1"/>
    <xf numFmtId="173" fontId="9" fillId="0" borderId="0" xfId="4" applyNumberFormat="1"/>
    <xf numFmtId="172" fontId="9" fillId="0" borderId="0" xfId="4" applyNumberFormat="1"/>
    <xf numFmtId="3" fontId="9" fillId="3" borderId="6" xfId="4" applyNumberFormat="1" applyFont="1" applyFill="1" applyBorder="1"/>
    <xf numFmtId="0" fontId="18" fillId="3" borderId="3" xfId="4" applyFont="1" applyFill="1" applyBorder="1"/>
    <xf numFmtId="0" fontId="18" fillId="3" borderId="6" xfId="4" applyFont="1" applyFill="1" applyBorder="1"/>
    <xf numFmtId="2" fontId="18" fillId="3" borderId="6" xfId="0" applyNumberFormat="1" applyFont="1" applyFill="1" applyBorder="1"/>
    <xf numFmtId="2" fontId="18" fillId="3" borderId="0" xfId="4" applyNumberFormat="1" applyFont="1" applyFill="1" applyBorder="1"/>
    <xf numFmtId="170" fontId="18" fillId="3" borderId="6" xfId="4" applyNumberFormat="1" applyFont="1" applyFill="1" applyBorder="1"/>
    <xf numFmtId="0" fontId="9" fillId="3" borderId="0" xfId="4" applyFont="1" applyFill="1"/>
    <xf numFmtId="0" fontId="32" fillId="3" borderId="0" xfId="4" applyFont="1" applyFill="1"/>
    <xf numFmtId="0" fontId="16" fillId="3" borderId="0" xfId="4" applyFont="1" applyFill="1"/>
    <xf numFmtId="165" fontId="69" fillId="3" borderId="8" xfId="58" applyNumberFormat="1" applyFont="1" applyFill="1" applyBorder="1"/>
    <xf numFmtId="1" fontId="9" fillId="35" borderId="6" xfId="0" applyNumberFormat="1" applyFont="1" applyFill="1" applyBorder="1" applyAlignment="1">
      <alignment horizontal="right"/>
    </xf>
    <xf numFmtId="0" fontId="9" fillId="35" borderId="6" xfId="0" applyFont="1" applyFill="1" applyBorder="1"/>
    <xf numFmtId="165" fontId="9" fillId="0" borderId="6" xfId="0" applyNumberFormat="1" applyFont="1" applyBorder="1"/>
    <xf numFmtId="165" fontId="9" fillId="35" borderId="6" xfId="0" applyNumberFormat="1" applyFont="1" applyFill="1" applyBorder="1"/>
    <xf numFmtId="9" fontId="73" fillId="35" borderId="3" xfId="1" applyFont="1" applyFill="1" applyBorder="1"/>
    <xf numFmtId="2" fontId="9" fillId="35" borderId="4" xfId="1" applyNumberFormat="1" applyFont="1" applyFill="1" applyBorder="1"/>
    <xf numFmtId="0" fontId="9" fillId="35" borderId="5" xfId="0" applyFont="1" applyFill="1" applyBorder="1"/>
    <xf numFmtId="2" fontId="9" fillId="35" borderId="3" xfId="0" applyNumberFormat="1" applyFont="1" applyFill="1" applyBorder="1"/>
    <xf numFmtId="2" fontId="9" fillId="35" borderId="7" xfId="0" applyNumberFormat="1" applyFont="1" applyFill="1" applyBorder="1"/>
    <xf numFmtId="1" fontId="9" fillId="35" borderId="3" xfId="0" applyNumberFormat="1" applyFont="1" applyFill="1" applyBorder="1"/>
    <xf numFmtId="0" fontId="9" fillId="35" borderId="3" xfId="0" applyFont="1" applyFill="1" applyBorder="1"/>
    <xf numFmtId="2" fontId="9" fillId="35" borderId="3" xfId="2" applyNumberFormat="1" applyFont="1" applyFill="1" applyBorder="1"/>
    <xf numFmtId="2" fontId="9" fillId="35" borderId="4" xfId="0" applyNumberFormat="1" applyFont="1" applyFill="1" applyBorder="1"/>
    <xf numFmtId="1" fontId="9" fillId="35" borderId="3" xfId="0" applyNumberFormat="1" applyFont="1" applyFill="1" applyBorder="1" applyAlignment="1">
      <alignment horizontal="right"/>
    </xf>
    <xf numFmtId="165" fontId="9" fillId="35" borderId="3" xfId="0" applyNumberFormat="1" applyFont="1" applyFill="1" applyBorder="1"/>
    <xf numFmtId="2" fontId="9" fillId="35" borderId="6" xfId="0" applyNumberFormat="1" applyFont="1" applyFill="1" applyBorder="1"/>
    <xf numFmtId="0" fontId="9" fillId="0" borderId="6" xfId="0" applyFont="1" applyBorder="1"/>
    <xf numFmtId="9" fontId="9" fillId="35" borderId="6" xfId="1" applyFont="1" applyFill="1" applyBorder="1"/>
    <xf numFmtId="9" fontId="9" fillId="35" borderId="6" xfId="0" applyNumberFormat="1" applyFont="1" applyFill="1" applyBorder="1"/>
    <xf numFmtId="9" fontId="9" fillId="35" borderId="3" xfId="0" applyNumberFormat="1" applyFont="1" applyFill="1" applyBorder="1"/>
    <xf numFmtId="0" fontId="9" fillId="35" borderId="7" xfId="0" applyFont="1" applyFill="1" applyBorder="1"/>
    <xf numFmtId="2" fontId="9" fillId="35" borderId="7" xfId="1" applyNumberFormat="1" applyFont="1" applyFill="1" applyBorder="1"/>
    <xf numFmtId="0" fontId="9" fillId="35" borderId="4" xfId="0" applyFont="1" applyFill="1" applyBorder="1"/>
    <xf numFmtId="0" fontId="9" fillId="35" borderId="2" xfId="0" applyFont="1" applyFill="1" applyBorder="1"/>
    <xf numFmtId="1" fontId="9" fillId="35" borderId="3" xfId="2" applyNumberFormat="1" applyFont="1" applyFill="1" applyBorder="1"/>
    <xf numFmtId="4" fontId="9" fillId="35" borderId="3" xfId="2" applyNumberFormat="1" applyFont="1" applyFill="1" applyBorder="1"/>
    <xf numFmtId="2" fontId="9" fillId="0" borderId="3" xfId="2" applyNumberFormat="1" applyFont="1" applyFill="1" applyBorder="1"/>
    <xf numFmtId="2" fontId="9" fillId="35" borderId="4" xfId="2" applyNumberFormat="1" applyFont="1" applyFill="1" applyBorder="1"/>
    <xf numFmtId="1" fontId="9" fillId="35" borderId="6" xfId="4" applyNumberFormat="1" applyFill="1" applyBorder="1"/>
    <xf numFmtId="1" fontId="9" fillId="35" borderId="3" xfId="4" applyNumberFormat="1" applyFill="1" applyBorder="1"/>
    <xf numFmtId="0" fontId="9" fillId="35" borderId="6" xfId="4" applyFill="1" applyBorder="1"/>
    <xf numFmtId="0" fontId="9" fillId="35" borderId="3" xfId="4" applyFill="1" applyBorder="1"/>
    <xf numFmtId="0" fontId="9" fillId="35" borderId="0" xfId="4" applyFill="1"/>
    <xf numFmtId="2" fontId="9" fillId="35" borderId="3" xfId="4" applyNumberFormat="1" applyFill="1" applyBorder="1"/>
    <xf numFmtId="1" fontId="74" fillId="35" borderId="8" xfId="58" applyNumberFormat="1" applyFont="1" applyFill="1" applyBorder="1"/>
    <xf numFmtId="4" fontId="74" fillId="35" borderId="20" xfId="58" applyNumberFormat="1" applyFont="1" applyFill="1" applyBorder="1"/>
  </cellXfs>
  <cellStyles count="67">
    <cellStyle name="20 % – uthevingsfarge 1" xfId="2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45" builtinId="46" customBuiltin="1"/>
    <cellStyle name="20 % – uthevingsfarge 6" xfId="49" builtinId="50" customBuiltin="1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6" builtinId="47" customBuiltin="1"/>
    <cellStyle name="40 % – uthevingsfarge 6" xfId="50" builtinId="51" customBuiltin="1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Beregning" xfId="22" builtinId="22" customBuiltin="1"/>
    <cellStyle name="Dårlig" xfId="18" builtinId="27" customBuiltin="1"/>
    <cellStyle name="Forklarende tekst" xfId="26" builtinId="53" customBuiltin="1"/>
    <cellStyle name="God" xfId="17" builtinId="26" customBuiltin="1"/>
    <cellStyle name="Inndata" xfId="20" builtinId="20" customBuiltin="1"/>
    <cellStyle name="Koblet celle" xfId="23" builtinId="24" customBuiltin="1"/>
    <cellStyle name="Komma" xfId="2" builtinId="3"/>
    <cellStyle name="Komma 2" xfId="57" xr:uid="{00000000-0005-0000-0000-000019000000}"/>
    <cellStyle name="Komma 2 2" xfId="60" xr:uid="{00000000-0005-0000-0000-00001A000000}"/>
    <cellStyle name="Kontrollcelle" xfId="24" builtinId="23" customBuiltin="1"/>
    <cellStyle name="Merknad 2" xfId="53" xr:uid="{00000000-0005-0000-0000-00001C000000}"/>
    <cellStyle name="Normal" xfId="0" builtinId="0"/>
    <cellStyle name="Normal 2" xfId="3" xr:uid="{00000000-0005-0000-0000-00001E000000}"/>
    <cellStyle name="Normal 2 2" xfId="4" xr:uid="{00000000-0005-0000-0000-00001F000000}"/>
    <cellStyle name="Normal 3" xfId="8" xr:uid="{00000000-0005-0000-0000-000020000000}"/>
    <cellStyle name="Normal 3 2" xfId="62" xr:uid="{E014ACF9-4150-4FEF-8E6B-D03CC95DFE6A}"/>
    <cellStyle name="Normal 4" xfId="9" xr:uid="{00000000-0005-0000-0000-000021000000}"/>
    <cellStyle name="Normal 4 2" xfId="54" xr:uid="{00000000-0005-0000-0000-000022000000}"/>
    <cellStyle name="Normal 4 2 2" xfId="55" xr:uid="{00000000-0005-0000-0000-000023000000}"/>
    <cellStyle name="Normal 5" xfId="10" xr:uid="{00000000-0005-0000-0000-000024000000}"/>
    <cellStyle name="Normal 5 2" xfId="61" xr:uid="{649E4A4E-300C-4348-B566-35E35BBDCD62}"/>
    <cellStyle name="Normal 6" xfId="52" xr:uid="{00000000-0005-0000-0000-000025000000}"/>
    <cellStyle name="Normal 6 2" xfId="59" xr:uid="{00000000-0005-0000-0000-000026000000}"/>
    <cellStyle name="Normal 6 3" xfId="63" xr:uid="{46FDA4D5-6B67-4F66-BF45-685F3D6B59C3}"/>
    <cellStyle name="Normal 7" xfId="56" xr:uid="{00000000-0005-0000-0000-000027000000}"/>
    <cellStyle name="Normal 7 3" xfId="58" xr:uid="{00000000-0005-0000-0000-000028000000}"/>
    <cellStyle name="Normal 7 3 2" xfId="65" xr:uid="{FF1CBC50-F432-4743-8C29-C8E4E0CF0F96}"/>
    <cellStyle name="Normal 8" xfId="64" xr:uid="{1542F572-582C-4EA9-B592-D4191955A24F}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1" builtinId="5"/>
    <cellStyle name="Prosent 2" xfId="11" xr:uid="{00000000-0005-0000-0000-000030000000}"/>
    <cellStyle name="Prosent 2 2" xfId="5" xr:uid="{00000000-0005-0000-0000-000031000000}"/>
    <cellStyle name="Prosent 3" xfId="66" xr:uid="{5EF5DC6D-BC10-4566-8950-A38917A84CF2}"/>
    <cellStyle name="Tittel" xfId="12" builtinId="15" customBuiltin="1"/>
    <cellStyle name="Totalt" xfId="27" builtinId="25" customBuiltin="1"/>
    <cellStyle name="Tusenskille 2 2" xfId="6" xr:uid="{00000000-0005-0000-0000-000034000000}"/>
    <cellStyle name="Tusenskille 3" xfId="7" xr:uid="{00000000-0005-0000-0000-000035000000}"/>
    <cellStyle name="Utdata" xfId="21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rseltekst" xfId="2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43"/>
  <sheetViews>
    <sheetView tabSelected="1" zoomScaleNormal="100" workbookViewId="0">
      <selection activeCell="D35" sqref="D35"/>
    </sheetView>
  </sheetViews>
  <sheetFormatPr baseColWidth="10" defaultColWidth="11.44140625" defaultRowHeight="13.2" x14ac:dyDescent="0.25"/>
  <cols>
    <col min="1" max="1" width="11.44140625" style="2" customWidth="1"/>
    <col min="2" max="2" width="52.5546875" style="2" customWidth="1"/>
    <col min="3" max="3" width="16" style="2" customWidth="1"/>
    <col min="4" max="4" width="15.5546875" style="2" customWidth="1"/>
    <col min="5" max="5" width="17.6640625" style="2" customWidth="1"/>
    <col min="6" max="6" width="15.5546875" style="2" customWidth="1"/>
    <col min="7" max="7" width="13.109375" style="2" customWidth="1"/>
    <col min="8" max="8" width="13.5546875" style="2" customWidth="1"/>
    <col min="9" max="9" width="15.44140625" style="2" customWidth="1"/>
    <col min="10" max="10" width="15.5546875" style="2" customWidth="1"/>
    <col min="11" max="11" width="15" style="2" customWidth="1"/>
    <col min="12" max="12" width="14" style="2" customWidth="1"/>
    <col min="13" max="13" width="11.5546875" style="2" customWidth="1"/>
    <col min="14" max="14" width="12.5546875" style="2" customWidth="1"/>
    <col min="15" max="15" width="14.5546875" style="2" customWidth="1"/>
    <col min="16" max="16" width="8.109375" style="2" customWidth="1"/>
    <col min="17" max="19" width="10.44140625" style="2" customWidth="1"/>
    <col min="20" max="20" width="11.109375" style="2" customWidth="1"/>
    <col min="21" max="21" width="10.6640625" style="2" customWidth="1"/>
    <col min="22" max="22" width="11.5546875" style="2" bestFit="1" customWidth="1"/>
    <col min="23" max="23" width="11.44140625" style="2" customWidth="1"/>
    <col min="24" max="16384" width="11.44140625" style="2"/>
  </cols>
  <sheetData>
    <row r="1" spans="1:23" x14ac:dyDescent="0.25">
      <c r="A1" s="1"/>
      <c r="B1" s="77"/>
      <c r="C1" s="77"/>
      <c r="D1" s="77"/>
      <c r="E1" s="77"/>
      <c r="F1" s="77"/>
      <c r="G1" s="77"/>
      <c r="H1" s="77"/>
      <c r="I1" s="77"/>
      <c r="J1" s="77"/>
      <c r="K1" s="70"/>
      <c r="L1" s="70"/>
      <c r="M1" s="1"/>
      <c r="N1" s="1"/>
      <c r="O1" s="1"/>
      <c r="P1" s="1"/>
      <c r="Q1" s="1"/>
      <c r="R1" s="1"/>
    </row>
    <row r="2" spans="1:23" ht="17.399999999999999" x14ac:dyDescent="0.3">
      <c r="A2" s="243"/>
      <c r="B2" s="290"/>
      <c r="C2" s="290"/>
      <c r="D2" s="290"/>
      <c r="E2" s="290"/>
      <c r="F2" s="243"/>
      <c r="G2" s="290"/>
      <c r="H2" s="290"/>
      <c r="I2" s="290"/>
      <c r="J2" s="291"/>
      <c r="K2" s="291"/>
      <c r="L2" s="291"/>
      <c r="M2" s="290"/>
      <c r="N2" s="290"/>
      <c r="O2" s="290"/>
      <c r="P2" s="3"/>
      <c r="Q2" s="4"/>
      <c r="R2" s="1"/>
    </row>
    <row r="3" spans="1:23" x14ac:dyDescent="0.25">
      <c r="A3" s="292"/>
      <c r="B3" s="292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287"/>
      <c r="Q3" s="1"/>
      <c r="R3" s="1"/>
    </row>
    <row r="4" spans="1:23" ht="15.6" x14ac:dyDescent="0.3">
      <c r="A4" s="1"/>
      <c r="B4" s="3"/>
      <c r="C4" s="3"/>
      <c r="D4" s="3"/>
      <c r="E4" s="3"/>
      <c r="F4" s="284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</row>
    <row r="5" spans="1:23" x14ac:dyDescent="0.25">
      <c r="A5" s="1"/>
      <c r="B5" s="4" t="s">
        <v>21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3" x14ac:dyDescent="0.25">
      <c r="A6" s="1"/>
      <c r="B6" s="1"/>
      <c r="C6" s="28">
        <v>2021</v>
      </c>
      <c r="D6" s="28">
        <v>2020</v>
      </c>
      <c r="E6" s="28">
        <v>2019</v>
      </c>
      <c r="F6" s="28">
        <v>2018</v>
      </c>
      <c r="G6" s="28">
        <v>2017</v>
      </c>
      <c r="H6" s="28">
        <v>2016</v>
      </c>
      <c r="I6" s="28">
        <v>2015</v>
      </c>
      <c r="J6" s="28">
        <v>2014</v>
      </c>
      <c r="K6" s="28">
        <v>2013</v>
      </c>
      <c r="L6" s="28">
        <v>2012</v>
      </c>
      <c r="M6" s="28">
        <v>2011</v>
      </c>
      <c r="N6" s="28">
        <v>2010</v>
      </c>
      <c r="O6" s="28">
        <v>2009</v>
      </c>
      <c r="P6" s="28">
        <v>2008</v>
      </c>
      <c r="Q6" s="1"/>
      <c r="R6" s="1"/>
      <c r="S6" s="1"/>
    </row>
    <row r="7" spans="1:23" x14ac:dyDescent="0.25">
      <c r="A7" s="1"/>
      <c r="B7" s="29" t="s">
        <v>32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4"/>
      <c r="R7" s="4"/>
      <c r="S7" s="1"/>
    </row>
    <row r="8" spans="1:23" x14ac:dyDescent="0.25">
      <c r="A8" s="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1"/>
      <c r="R8" s="1"/>
      <c r="S8" s="1"/>
    </row>
    <row r="9" spans="1:23" x14ac:dyDescent="0.25">
      <c r="A9" s="1"/>
      <c r="B9" s="57" t="s">
        <v>49</v>
      </c>
      <c r="C9" s="47">
        <v>246.22523155221464</v>
      </c>
      <c r="D9" s="47">
        <f>'Bane 2020'!D12+'Trikk 2020'!D12+'Buss totalt 2020'!D11+'Båt totalt 2020'!D12+'Tog 2020'!C7</f>
        <v>240.46522563128306</v>
      </c>
      <c r="E9" s="47">
        <v>398.37997199328481</v>
      </c>
      <c r="F9" s="47">
        <v>386.9300612298598</v>
      </c>
      <c r="G9" s="47">
        <v>371.16493915364543</v>
      </c>
      <c r="H9" s="47">
        <v>350.47677612695122</v>
      </c>
      <c r="I9" s="47">
        <v>334.19873822651346</v>
      </c>
      <c r="J9" s="47">
        <v>319.3295109268339</v>
      </c>
      <c r="K9" s="33">
        <v>308.96335347193832</v>
      </c>
      <c r="L9" s="46">
        <v>299.76131778437446</v>
      </c>
      <c r="M9" s="46">
        <v>285.42190021946561</v>
      </c>
      <c r="N9" s="46">
        <v>270.55789016986267</v>
      </c>
      <c r="O9" s="46">
        <v>256.35958449376608</v>
      </c>
      <c r="P9" s="33">
        <v>243.87781272991396</v>
      </c>
      <c r="Q9" s="6"/>
      <c r="R9" s="6"/>
      <c r="S9" s="7"/>
      <c r="U9" s="26"/>
      <c r="W9" s="37"/>
    </row>
    <row r="10" spans="1:23" x14ac:dyDescent="0.25">
      <c r="A10" s="1"/>
      <c r="B10" s="57" t="s">
        <v>82</v>
      </c>
      <c r="C10" s="47">
        <v>1397.8718011993449</v>
      </c>
      <c r="D10" s="47">
        <f>'Bane 2020'!D13+'Trikk 2020'!D13+'Buss totalt 2020'!D12+'Båt totalt 2020'!D13</f>
        <v>1313.479974856775</v>
      </c>
      <c r="E10" s="47">
        <v>2364.9737821685403</v>
      </c>
      <c r="F10" s="33">
        <v>2295.3765063307765</v>
      </c>
      <c r="G10" s="55">
        <v>2201.2216124596234</v>
      </c>
      <c r="H10" s="33">
        <v>2033.4597019878959</v>
      </c>
      <c r="I10" s="33">
        <v>1897.7407101270082</v>
      </c>
      <c r="J10" s="33">
        <v>1830.1043575293797</v>
      </c>
      <c r="K10" s="33">
        <v>1759.0895317170225</v>
      </c>
      <c r="L10" s="46">
        <v>1718.9531826296111</v>
      </c>
      <c r="M10" s="46">
        <v>1635.95588104905</v>
      </c>
      <c r="N10" s="46">
        <v>1526.1809007828051</v>
      </c>
      <c r="O10" s="46">
        <v>1433.3780546712342</v>
      </c>
      <c r="P10" s="33">
        <v>1349.8653639668721</v>
      </c>
      <c r="Q10" s="10"/>
      <c r="R10" s="10"/>
      <c r="S10" s="10"/>
      <c r="T10" s="26"/>
      <c r="U10" s="26"/>
      <c r="V10" s="26"/>
      <c r="W10" s="37"/>
    </row>
    <row r="11" spans="1:23" x14ac:dyDescent="0.25">
      <c r="A11" s="1"/>
      <c r="B11" s="57" t="s">
        <v>56</v>
      </c>
      <c r="C11" s="224">
        <v>129.13722363164396</v>
      </c>
      <c r="D11" s="224">
        <f>'Bane 2020'!D14+'Trikk 2020'!D14+'Buss totalt 2020'!D13+'Båt totalt 2020'!D14</f>
        <v>124.27950861901948</v>
      </c>
      <c r="E11" s="224">
        <v>122.21829302525622</v>
      </c>
      <c r="F11" s="224">
        <v>119.67943633979991</v>
      </c>
      <c r="G11" s="48">
        <v>113.0202781253799</v>
      </c>
      <c r="H11" s="48">
        <v>106.06447347129991</v>
      </c>
      <c r="I11" s="224">
        <v>97.212826839499996</v>
      </c>
      <c r="J11" s="224">
        <v>93.552142156334</v>
      </c>
      <c r="K11" s="45">
        <v>90.485406462</v>
      </c>
      <c r="L11" s="45">
        <v>85.317392793935511</v>
      </c>
      <c r="M11" s="45">
        <v>82.064114944935497</v>
      </c>
      <c r="N11" s="45">
        <v>78.303511779463008</v>
      </c>
      <c r="O11" s="45">
        <v>73.782126924000011</v>
      </c>
      <c r="P11" s="34">
        <v>73.19166416186539</v>
      </c>
      <c r="Q11" s="9"/>
      <c r="R11" s="10"/>
      <c r="S11" s="9"/>
      <c r="T11" s="26"/>
      <c r="U11" s="26"/>
      <c r="V11" s="26"/>
      <c r="W11" s="37"/>
    </row>
    <row r="12" spans="1:23" x14ac:dyDescent="0.25">
      <c r="A12" s="1"/>
      <c r="B12" s="57" t="s">
        <v>24</v>
      </c>
      <c r="C12" s="47">
        <v>12366.400381842501</v>
      </c>
      <c r="D12" s="47">
        <f>'Bane 2020'!D16+'Trikk 2020'!D15+'Buss totalt 2020'!D14+'Båt totalt 2020'!D15</f>
        <v>11959.565287310072</v>
      </c>
      <c r="E12" s="47">
        <v>10727.716510487735</v>
      </c>
      <c r="F12" s="33">
        <v>10652.274742895057</v>
      </c>
      <c r="G12" s="55">
        <v>10243.826203017881</v>
      </c>
      <c r="H12" s="46">
        <v>9565.1122937500768</v>
      </c>
      <c r="I12" s="33">
        <v>8561.5029348028311</v>
      </c>
      <c r="J12" s="33">
        <v>8275.1259591032194</v>
      </c>
      <c r="K12" s="46">
        <v>7867.7051264326901</v>
      </c>
      <c r="L12" s="46">
        <v>7336.2967165853706</v>
      </c>
      <c r="M12" s="46">
        <v>6980.6568978271662</v>
      </c>
      <c r="N12" s="46">
        <v>6485.7711045252108</v>
      </c>
      <c r="O12" s="46">
        <v>5948.1804075744421</v>
      </c>
      <c r="P12" s="33">
        <v>5854.4785216107766</v>
      </c>
      <c r="Q12" s="10"/>
      <c r="R12" s="10"/>
      <c r="S12" s="10"/>
    </row>
    <row r="13" spans="1:23" x14ac:dyDescent="0.25">
      <c r="A13" s="1"/>
      <c r="B13" s="57" t="s">
        <v>20</v>
      </c>
      <c r="C13" s="47">
        <v>5845.9414595090047</v>
      </c>
      <c r="D13" s="47">
        <f>'Bane 2020'!D18+'Trikk 2020'!D17+'Buss totalt 2020'!D16+'Båt totalt 2020'!D17</f>
        <v>5669.3119999999999</v>
      </c>
      <c r="E13" s="59">
        <v>5562.2210495999998</v>
      </c>
      <c r="F13" s="33">
        <v>5244.0153313000001</v>
      </c>
      <c r="G13" s="55">
        <v>4884.7309999999998</v>
      </c>
      <c r="H13" s="46">
        <v>4431.9859999999999</v>
      </c>
      <c r="I13" s="46">
        <v>4383.0337834000002</v>
      </c>
      <c r="J13" s="33">
        <v>4089.1770000000001</v>
      </c>
      <c r="K13" s="46">
        <v>3991.107</v>
      </c>
      <c r="L13" s="46">
        <v>3741.4920000000002</v>
      </c>
      <c r="M13" s="46">
        <v>3605.172</v>
      </c>
      <c r="N13" s="46">
        <v>3526.6149999999998</v>
      </c>
      <c r="O13" s="46">
        <v>3440.3670000000002</v>
      </c>
      <c r="P13" s="33">
        <v>3473.1890000000003</v>
      </c>
      <c r="Q13" s="10"/>
      <c r="R13" s="10"/>
      <c r="S13" s="10"/>
    </row>
    <row r="14" spans="1:23" x14ac:dyDescent="0.25">
      <c r="A14" s="1"/>
      <c r="B14" s="57" t="s">
        <v>1</v>
      </c>
      <c r="C14" s="181">
        <f>C10/C12</f>
        <v>0.11303788960705415</v>
      </c>
      <c r="D14" s="181">
        <f>D10/D12</f>
        <v>0.10982673226847704</v>
      </c>
      <c r="E14" s="181">
        <f t="shared" ref="E14:P14" si="0">E10/E12</f>
        <v>0.22045453753895078</v>
      </c>
      <c r="F14" s="181">
        <f t="shared" si="0"/>
        <v>0.21548228540216405</v>
      </c>
      <c r="G14" s="181">
        <f t="shared" si="0"/>
        <v>0.21488275658280231</v>
      </c>
      <c r="H14" s="181">
        <f t="shared" si="0"/>
        <v>0.21259130468510812</v>
      </c>
      <c r="I14" s="205">
        <f t="shared" si="0"/>
        <v>0.22165976284521505</v>
      </c>
      <c r="J14" s="221">
        <f t="shared" si="0"/>
        <v>0.22115728105819785</v>
      </c>
      <c r="K14" s="221">
        <f t="shared" si="0"/>
        <v>0.22358356133697838</v>
      </c>
      <c r="L14" s="222">
        <f t="shared" si="0"/>
        <v>0.23430802338508552</v>
      </c>
      <c r="M14" s="222">
        <f t="shared" si="0"/>
        <v>0.23435557784801969</v>
      </c>
      <c r="N14" s="222">
        <f t="shared" si="0"/>
        <v>0.23531217432541951</v>
      </c>
      <c r="O14" s="222">
        <f t="shared" si="0"/>
        <v>0.24097756901353623</v>
      </c>
      <c r="P14" s="222">
        <f t="shared" si="0"/>
        <v>0.23056970129518484</v>
      </c>
      <c r="Q14" s="11"/>
      <c r="R14" s="10"/>
      <c r="S14" s="11"/>
    </row>
    <row r="15" spans="1:23" x14ac:dyDescent="0.25">
      <c r="A15" s="1"/>
      <c r="B15" s="82"/>
      <c r="C15" s="82"/>
      <c r="D15" s="82"/>
      <c r="E15" s="82"/>
      <c r="F15" s="82"/>
      <c r="G15" s="274"/>
      <c r="H15" s="274"/>
      <c r="I15" s="82"/>
      <c r="J15" s="82"/>
      <c r="K15" s="82"/>
      <c r="L15" s="59"/>
      <c r="M15" s="59"/>
      <c r="N15" s="59"/>
      <c r="O15" s="59"/>
      <c r="P15" s="59"/>
      <c r="Q15" s="67"/>
      <c r="R15" s="12"/>
      <c r="S15" s="12"/>
    </row>
    <row r="16" spans="1:23" x14ac:dyDescent="0.25">
      <c r="A16" s="1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3"/>
      <c r="M16" s="53"/>
      <c r="N16" s="53"/>
      <c r="O16" s="30"/>
      <c r="P16" s="30"/>
      <c r="Q16" s="1"/>
      <c r="R16" s="1"/>
      <c r="S16" s="1"/>
    </row>
    <row r="17" spans="1:23" x14ac:dyDescent="0.25">
      <c r="A17" s="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3"/>
      <c r="M17" s="53"/>
      <c r="N17" s="53"/>
      <c r="O17" s="30"/>
      <c r="P17" s="30"/>
      <c r="Q17" s="1"/>
      <c r="R17" s="1"/>
      <c r="S17" s="1"/>
      <c r="U17" s="43"/>
    </row>
    <row r="18" spans="1:23" x14ac:dyDescent="0.25">
      <c r="A18" s="1"/>
      <c r="B18" s="31" t="s">
        <v>2</v>
      </c>
      <c r="C18" s="31"/>
      <c r="D18" s="31"/>
      <c r="E18" s="31"/>
      <c r="F18" s="31"/>
      <c r="G18" s="31"/>
      <c r="H18" s="31"/>
      <c r="I18" s="31"/>
      <c r="J18" s="31"/>
      <c r="K18" s="31"/>
      <c r="L18" s="56"/>
      <c r="M18" s="56"/>
      <c r="N18" s="56"/>
      <c r="O18" s="31"/>
      <c r="P18" s="31"/>
      <c r="Q18" s="4"/>
      <c r="R18" s="4"/>
      <c r="S18" s="1"/>
      <c r="T18" s="13"/>
      <c r="U18" s="13"/>
      <c r="V18" s="13"/>
      <c r="W18" s="13"/>
    </row>
    <row r="19" spans="1:23" x14ac:dyDescent="0.25">
      <c r="A19" s="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3"/>
      <c r="M19" s="53"/>
      <c r="N19" s="53"/>
      <c r="O19" s="30"/>
      <c r="P19" s="30"/>
      <c r="Q19" s="1"/>
      <c r="R19" s="1"/>
      <c r="S19" s="1"/>
      <c r="T19" s="13"/>
      <c r="U19" s="13"/>
      <c r="V19" s="13"/>
      <c r="W19" s="13"/>
    </row>
    <row r="20" spans="1:23" x14ac:dyDescent="0.25">
      <c r="A20" s="1"/>
      <c r="B20" s="30" t="s">
        <v>3</v>
      </c>
      <c r="C20" s="312">
        <v>3097.8664119999999</v>
      </c>
      <c r="D20" s="312">
        <v>3101.4242151061762</v>
      </c>
      <c r="E20" s="312">
        <v>5017.1210902527073</v>
      </c>
      <c r="F20" s="312">
        <v>4873.7152029520284</v>
      </c>
      <c r="G20" s="312">
        <v>4682.2664524947004</v>
      </c>
      <c r="H20" s="312">
        <v>4450.8914090357139</v>
      </c>
      <c r="I20" s="312">
        <v>4273.2334890000002</v>
      </c>
      <c r="J20" s="312">
        <v>3982.3047119509702</v>
      </c>
      <c r="K20" s="312">
        <v>3769.2464264859232</v>
      </c>
      <c r="L20" s="312">
        <v>3604.2509329073478</v>
      </c>
      <c r="M20" s="312">
        <v>3627.735511254019</v>
      </c>
      <c r="N20" s="312">
        <v>3556.1376172964169</v>
      </c>
      <c r="O20" s="312">
        <v>3437.2664149054503</v>
      </c>
      <c r="P20" s="325">
        <v>3463.6007454545452</v>
      </c>
      <c r="Q20" s="9"/>
      <c r="R20" s="5"/>
      <c r="S20" s="9"/>
      <c r="T20" s="13"/>
      <c r="U20" s="13"/>
      <c r="V20" s="13"/>
      <c r="W20" s="13"/>
    </row>
    <row r="21" spans="1:23" x14ac:dyDescent="0.25">
      <c r="A21" s="1"/>
      <c r="B21" s="30" t="s">
        <v>41</v>
      </c>
      <c r="C21" s="312">
        <v>6669.1517029999995</v>
      </c>
      <c r="D21" s="312">
        <v>6418.2894545454537</v>
      </c>
      <c r="E21" s="312">
        <v>4116.7446335740069</v>
      </c>
      <c r="F21" s="312">
        <v>3976.0576356088554</v>
      </c>
      <c r="G21" s="312">
        <v>3981.2134107153838</v>
      </c>
      <c r="H21" s="312">
        <v>3806.0317287458683</v>
      </c>
      <c r="I21" s="312">
        <v>3798.3374546957102</v>
      </c>
      <c r="J21" s="312">
        <v>3704.0611062870275</v>
      </c>
      <c r="K21" s="312">
        <v>3544.2610136558915</v>
      </c>
      <c r="L21" s="312">
        <v>3368.0839022396162</v>
      </c>
      <c r="M21" s="312">
        <v>3192.0021318327972</v>
      </c>
      <c r="N21" s="312">
        <v>2986.1209934853423</v>
      </c>
      <c r="O21" s="312">
        <v>2818.7840222469408</v>
      </c>
      <c r="P21" s="325">
        <v>2385.3562977272727</v>
      </c>
      <c r="Q21" s="9"/>
      <c r="R21" s="5"/>
      <c r="S21" s="9"/>
      <c r="T21" s="13"/>
      <c r="U21" s="13"/>
      <c r="V21" s="13"/>
      <c r="W21" s="13"/>
    </row>
    <row r="22" spans="1:23" x14ac:dyDescent="0.25">
      <c r="A22" s="1"/>
      <c r="B22" s="84" t="s">
        <v>55</v>
      </c>
      <c r="C22" s="312">
        <v>10380.066396</v>
      </c>
      <c r="D22" s="312">
        <v>10014.558285496727</v>
      </c>
      <c r="E22" s="312">
        <v>9719.6831391860233</v>
      </c>
      <c r="F22" s="312">
        <v>9202.6872071173766</v>
      </c>
      <c r="G22" s="312">
        <v>8462.6693937133241</v>
      </c>
      <c r="H22" s="312">
        <v>8344.2669625485651</v>
      </c>
      <c r="I22" s="312">
        <v>8358.5499805058571</v>
      </c>
      <c r="J22" s="312">
        <v>7891.4314961506143</v>
      </c>
      <c r="K22" s="312">
        <v>7582.8389574424582</v>
      </c>
      <c r="L22" s="312">
        <v>7155.1528345413944</v>
      </c>
      <c r="M22" s="312">
        <v>6930.763996221026</v>
      </c>
      <c r="N22" s="312">
        <v>6657.9429576547236</v>
      </c>
      <c r="O22" s="312">
        <v>6369.1865939933259</v>
      </c>
      <c r="P22" s="325">
        <v>5947.2884659090914</v>
      </c>
      <c r="Q22" s="14"/>
      <c r="R22" s="5"/>
      <c r="S22" s="9"/>
      <c r="T22" s="13"/>
      <c r="U22" s="42"/>
      <c r="V22" s="42"/>
      <c r="W22" s="42"/>
    </row>
    <row r="23" spans="1:23" x14ac:dyDescent="0.25">
      <c r="A23" s="1"/>
      <c r="B23" s="30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22"/>
      <c r="Q23" s="15"/>
      <c r="R23" s="27"/>
      <c r="S23" s="9"/>
      <c r="U23" s="13"/>
      <c r="V23" s="42"/>
      <c r="W23" s="13"/>
    </row>
    <row r="24" spans="1:23" x14ac:dyDescent="0.25">
      <c r="A24" s="1"/>
      <c r="B24" s="30" t="s">
        <v>27</v>
      </c>
      <c r="C24" s="314">
        <v>50.774000000000001</v>
      </c>
      <c r="D24" s="314">
        <v>-75.162982716577531</v>
      </c>
      <c r="E24" s="315">
        <v>-193.83670397111914</v>
      </c>
      <c r="F24" s="315">
        <v>-62.762546125461249</v>
      </c>
      <c r="G24" s="315">
        <v>502.74931563981039</v>
      </c>
      <c r="H24" s="315">
        <v>166.49031370656368</v>
      </c>
      <c r="I24" s="315">
        <v>-25.077600000000004</v>
      </c>
      <c r="J24" s="315">
        <v>45.538712972420832</v>
      </c>
      <c r="K24" s="315">
        <v>-13.801251303441084</v>
      </c>
      <c r="L24" s="315">
        <v>-20.400958466453673</v>
      </c>
      <c r="M24" s="315">
        <v>17.421221864951768</v>
      </c>
      <c r="N24" s="315">
        <v>0.25211726384364824</v>
      </c>
      <c r="O24" s="315">
        <v>-9.0400444938820907</v>
      </c>
      <c r="P24" s="326">
        <v>-29.156931818181821</v>
      </c>
      <c r="Q24" s="72"/>
      <c r="R24" s="73"/>
      <c r="S24" s="74"/>
      <c r="T24" s="58"/>
      <c r="U24" s="13"/>
      <c r="V24" s="42"/>
      <c r="W24" s="13"/>
    </row>
    <row r="25" spans="1:23" x14ac:dyDescent="0.25">
      <c r="A25" s="1"/>
      <c r="B25" s="30" t="s">
        <v>28</v>
      </c>
      <c r="C25" s="315">
        <v>68.23</v>
      </c>
      <c r="D25" s="315">
        <v>-56.84319016844919</v>
      </c>
      <c r="E25" s="315">
        <v>-152.46507671480146</v>
      </c>
      <c r="F25" s="315">
        <v>-34.165959409594088</v>
      </c>
      <c r="G25" s="315">
        <v>542.03183317535536</v>
      </c>
      <c r="H25" s="315">
        <v>202.67070463320462</v>
      </c>
      <c r="I25" s="315">
        <v>8.823599999999999</v>
      </c>
      <c r="J25" s="315">
        <v>78.862614913176714</v>
      </c>
      <c r="K25" s="315">
        <v>6.0531803962460895</v>
      </c>
      <c r="L25" s="315">
        <v>1.7309904153354632</v>
      </c>
      <c r="M25" s="315">
        <v>7.8395498392282956</v>
      </c>
      <c r="N25" s="315">
        <v>3.6557003257328993</v>
      </c>
      <c r="O25" s="315">
        <v>1.2914349276974415</v>
      </c>
      <c r="P25" s="326">
        <v>0.20977159090909092</v>
      </c>
      <c r="Q25" s="72"/>
      <c r="R25" s="75"/>
      <c r="S25" s="76"/>
      <c r="V25" s="42"/>
    </row>
    <row r="26" spans="1:23" x14ac:dyDescent="0.25">
      <c r="A26" s="1"/>
      <c r="B26" s="30"/>
      <c r="C26" s="313"/>
      <c r="D26" s="313"/>
      <c r="E26" s="313"/>
      <c r="F26" s="313"/>
      <c r="G26" s="327"/>
      <c r="H26" s="313"/>
      <c r="I26" s="313"/>
      <c r="J26" s="313"/>
      <c r="K26" s="328"/>
      <c r="L26" s="313"/>
      <c r="M26" s="313"/>
      <c r="N26" s="313"/>
      <c r="O26" s="313"/>
      <c r="P26" s="322"/>
      <c r="Q26" s="68"/>
      <c r="R26" s="1"/>
      <c r="S26" s="9"/>
      <c r="V26" s="42"/>
      <c r="W26" s="26"/>
    </row>
    <row r="27" spans="1:23" ht="14.4" x14ac:dyDescent="0.3">
      <c r="A27" s="1"/>
      <c r="B27" s="30" t="s">
        <v>29</v>
      </c>
      <c r="C27" s="316">
        <v>0.72705655498006683</v>
      </c>
      <c r="D27" s="316">
        <v>0.72616000000000003</v>
      </c>
      <c r="E27" s="329">
        <v>0.70978339020932102</v>
      </c>
      <c r="F27" s="329">
        <v>0.67100000000000004</v>
      </c>
      <c r="G27" s="329">
        <v>0.71474352009113795</v>
      </c>
      <c r="H27" s="329">
        <v>0.8226628605615659</v>
      </c>
      <c r="I27" s="330">
        <v>0.88900000000000001</v>
      </c>
      <c r="J27" s="330">
        <v>0.88900000000000001</v>
      </c>
      <c r="K27" s="329">
        <v>0.88800000000000001</v>
      </c>
      <c r="L27" s="329">
        <v>0.83499999999999996</v>
      </c>
      <c r="M27" s="329">
        <v>0.84599999999999997</v>
      </c>
      <c r="N27" s="329">
        <v>0.84599999999999997</v>
      </c>
      <c r="O27" s="330">
        <v>0.8</v>
      </c>
      <c r="P27" s="331">
        <v>0.70420000000000005</v>
      </c>
      <c r="Q27" s="1"/>
      <c r="R27" s="9"/>
      <c r="S27" s="9"/>
      <c r="U27" s="26"/>
      <c r="V27" s="42"/>
    </row>
    <row r="28" spans="1:23" ht="14.4" x14ac:dyDescent="0.3">
      <c r="A28" s="1"/>
      <c r="B28" s="30" t="s">
        <v>30</v>
      </c>
      <c r="C28" s="316">
        <v>0.27294344501993317</v>
      </c>
      <c r="D28" s="316">
        <v>0.27383000000000002</v>
      </c>
      <c r="E28" s="329">
        <v>0.29021660979067904</v>
      </c>
      <c r="F28" s="329">
        <v>0.32900000000000001</v>
      </c>
      <c r="G28" s="329">
        <v>0.28525617383048218</v>
      </c>
      <c r="H28" s="329">
        <v>0.17733676363816747</v>
      </c>
      <c r="I28" s="330">
        <v>0.111</v>
      </c>
      <c r="J28" s="330">
        <v>0.111</v>
      </c>
      <c r="K28" s="329">
        <v>0.112</v>
      </c>
      <c r="L28" s="329">
        <v>0.16500000000000001</v>
      </c>
      <c r="M28" s="329">
        <v>0.154</v>
      </c>
      <c r="N28" s="329">
        <v>0.154</v>
      </c>
      <c r="O28" s="330">
        <v>0.2</v>
      </c>
      <c r="P28" s="331">
        <v>0.29580000000000001</v>
      </c>
      <c r="Q28" s="16"/>
      <c r="R28" s="11"/>
      <c r="S28" s="11"/>
      <c r="U28" s="44"/>
      <c r="V28" s="42"/>
    </row>
    <row r="29" spans="1:23" x14ac:dyDescent="0.25">
      <c r="A29" s="1"/>
      <c r="B29" s="32" t="s">
        <v>31</v>
      </c>
      <c r="C29" s="317">
        <v>1.2433464606591891</v>
      </c>
      <c r="D29" s="317">
        <v>1.26</v>
      </c>
      <c r="E29" s="332">
        <v>1.21</v>
      </c>
      <c r="F29" s="332">
        <v>1.52</v>
      </c>
      <c r="G29" s="320">
        <v>1.4564938248904415</v>
      </c>
      <c r="H29" s="333">
        <v>1.2242051022880605</v>
      </c>
      <c r="I29" s="332">
        <v>1.1299999999999999</v>
      </c>
      <c r="J29" s="332">
        <v>1.21</v>
      </c>
      <c r="K29" s="332">
        <v>1.19</v>
      </c>
      <c r="L29" s="332">
        <v>1.23</v>
      </c>
      <c r="M29" s="332">
        <v>1.28</v>
      </c>
      <c r="N29" s="332">
        <v>1.25</v>
      </c>
      <c r="O29" s="332">
        <v>1.23</v>
      </c>
      <c r="P29" s="334">
        <v>1.27</v>
      </c>
      <c r="Q29" s="1"/>
      <c r="R29" s="1"/>
      <c r="S29" s="9"/>
      <c r="V29" s="42"/>
    </row>
    <row r="30" spans="1:23" x14ac:dyDescent="0.25">
      <c r="A30" s="1"/>
      <c r="B30" s="40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35"/>
      <c r="P30" s="335"/>
      <c r="Q30" s="1"/>
      <c r="R30" s="1"/>
      <c r="S30" s="9"/>
      <c r="V30" s="42"/>
    </row>
    <row r="31" spans="1:23" x14ac:dyDescent="0.25">
      <c r="A31" s="1"/>
      <c r="B31" s="50" t="s">
        <v>43</v>
      </c>
      <c r="C31" s="319">
        <v>12.581433642973607</v>
      </c>
      <c r="D31" s="319">
        <v>12.897599671487384</v>
      </c>
      <c r="E31" s="319">
        <v>12.593808531964244</v>
      </c>
      <c r="F31" s="319">
        <v>12.595855663064514</v>
      </c>
      <c r="G31" s="319">
        <v>12.615055891786305</v>
      </c>
      <c r="H31" s="319">
        <v>12.699533070982977</v>
      </c>
      <c r="I31" s="319">
        <v>12.786503957724953</v>
      </c>
      <c r="J31" s="319">
        <v>12.47083208937558</v>
      </c>
      <c r="K31" s="319">
        <v>12.199655344653248</v>
      </c>
      <c r="L31" s="319">
        <v>12.023735949479553</v>
      </c>
      <c r="M31" s="319">
        <v>12.710081141161885</v>
      </c>
      <c r="N31" s="319">
        <v>13.143721719088617</v>
      </c>
      <c r="O31" s="319">
        <v>13.407988711219941</v>
      </c>
      <c r="P31" s="319">
        <v>14.202197021056444</v>
      </c>
      <c r="Q31" s="1"/>
      <c r="R31" s="1"/>
      <c r="S31" s="9"/>
      <c r="V31" s="42"/>
    </row>
    <row r="32" spans="1:23" x14ac:dyDescent="0.25">
      <c r="A32" s="1"/>
      <c r="B32" s="51" t="s">
        <v>42</v>
      </c>
      <c r="C32" s="320">
        <v>41.490551745202005</v>
      </c>
      <c r="D32" s="320">
        <v>40.797144889858089</v>
      </c>
      <c r="E32" s="320">
        <v>24.27555469255763</v>
      </c>
      <c r="F32" s="320">
        <v>23.550469207390321</v>
      </c>
      <c r="G32" s="320">
        <v>22.779080211306358</v>
      </c>
      <c r="H32" s="320">
        <v>23.490493453407986</v>
      </c>
      <c r="I32" s="320">
        <v>24.272480393340363</v>
      </c>
      <c r="J32" s="320">
        <v>24.877017883502678</v>
      </c>
      <c r="K32" s="320">
        <v>24.417957443073604</v>
      </c>
      <c r="L32" s="320">
        <v>23.8788642722586</v>
      </c>
      <c r="M32" s="320">
        <v>24.25525998784541</v>
      </c>
      <c r="N32" s="320">
        <v>24.177296433151117</v>
      </c>
      <c r="O32" s="320">
        <v>24.788511640591068</v>
      </c>
      <c r="P32" s="324">
        <v>24.240805641004222</v>
      </c>
      <c r="Q32" s="1"/>
      <c r="R32" s="52"/>
      <c r="S32" s="9"/>
      <c r="V32" s="42"/>
    </row>
    <row r="33" spans="1:21" x14ac:dyDescent="0.25">
      <c r="A33" s="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"/>
      <c r="Q33" s="1"/>
      <c r="R33" s="1"/>
      <c r="U33" s="42"/>
    </row>
    <row r="34" spans="1:21" ht="15.6" x14ac:dyDescent="0.3">
      <c r="A34" s="1"/>
      <c r="B34" s="17" t="s">
        <v>39</v>
      </c>
      <c r="C34" s="17"/>
      <c r="D34" s="17"/>
      <c r="E34" s="17"/>
      <c r="F34" s="17"/>
      <c r="G34" s="17"/>
      <c r="H34" s="17"/>
      <c r="I34" s="17"/>
      <c r="J34" s="65"/>
      <c r="K34" s="65"/>
      <c r="L34" s="64"/>
      <c r="M34" s="41"/>
      <c r="N34" s="41"/>
      <c r="O34" s="39"/>
      <c r="P34" s="1"/>
      <c r="Q34" s="1"/>
      <c r="R34" s="1"/>
      <c r="U34" s="42"/>
    </row>
    <row r="35" spans="1:21" x14ac:dyDescent="0.25">
      <c r="A35" s="1"/>
      <c r="B35" s="220" t="s">
        <v>77</v>
      </c>
      <c r="C35" s="220"/>
      <c r="D35" s="220"/>
      <c r="E35" s="220"/>
      <c r="F35" s="220"/>
      <c r="G35" s="220"/>
      <c r="H35" s="241"/>
      <c r="I35" s="220"/>
      <c r="J35" s="220"/>
      <c r="K35" s="220"/>
      <c r="L35" s="220"/>
      <c r="M35" s="220"/>
      <c r="N35" s="220"/>
      <c r="O35" s="242"/>
      <c r="P35" s="243"/>
      <c r="Q35" s="243"/>
      <c r="R35" s="243"/>
    </row>
    <row r="36" spans="1:21" x14ac:dyDescent="0.25">
      <c r="A36" s="1"/>
      <c r="B36" s="245" t="s">
        <v>61</v>
      </c>
      <c r="C36" s="245"/>
      <c r="D36" s="245"/>
      <c r="E36" s="245"/>
      <c r="F36" s="241"/>
      <c r="G36" s="241"/>
      <c r="H36" s="241"/>
      <c r="I36" s="220"/>
      <c r="J36" s="220"/>
      <c r="K36" s="220"/>
      <c r="L36" s="220"/>
      <c r="M36" s="220"/>
      <c r="N36" s="220"/>
      <c r="O36" s="242"/>
      <c r="P36" s="243"/>
      <c r="Q36" s="243"/>
      <c r="R36" s="243"/>
    </row>
    <row r="37" spans="1:21" ht="12" customHeight="1" x14ac:dyDescent="0.25">
      <c r="A37" s="1"/>
      <c r="B37" s="269"/>
      <c r="C37" s="269"/>
      <c r="D37" s="269"/>
      <c r="F37" s="245"/>
      <c r="G37" s="245"/>
      <c r="H37" s="244"/>
      <c r="I37" s="245"/>
      <c r="J37" s="220"/>
      <c r="K37" s="220"/>
      <c r="L37" s="220"/>
      <c r="M37" s="220"/>
      <c r="N37" s="220"/>
      <c r="O37" s="242"/>
      <c r="P37" s="243"/>
      <c r="Q37" s="243"/>
      <c r="R37" s="243"/>
    </row>
    <row r="38" spans="1:21" ht="12" customHeight="1" x14ac:dyDescent="0.25">
      <c r="A38" s="1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43"/>
      <c r="Q38" s="243"/>
      <c r="R38" s="243"/>
    </row>
    <row r="39" spans="1:21" ht="12" customHeight="1" x14ac:dyDescent="0.25"/>
    <row r="40" spans="1:21" x14ac:dyDescent="0.25">
      <c r="G40" s="267"/>
    </row>
    <row r="41" spans="1:21" x14ac:dyDescent="0.25">
      <c r="C41" s="26"/>
      <c r="D41" s="26"/>
    </row>
    <row r="42" spans="1:21" x14ac:dyDescent="0.25">
      <c r="C42" s="26"/>
      <c r="D42" s="26"/>
    </row>
    <row r="43" spans="1:21" x14ac:dyDescent="0.25">
      <c r="C43" s="26"/>
      <c r="D43" s="26"/>
    </row>
  </sheetData>
  <phoneticPr fontId="1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landscape" horizontalDpi="4294967292" r:id="rId1"/>
  <headerFooter alignWithMargins="0">
    <oddHeader>&amp;A</oddHeader>
    <oddFooter>&amp;L&amp;"Arial,Halvfet"AS Oslo Sporveier foreløpig&amp;C&amp;D&amp;RSide 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2:R39"/>
  <sheetViews>
    <sheetView workbookViewId="0">
      <selection activeCell="G24" sqref="G24"/>
    </sheetView>
  </sheetViews>
  <sheetFormatPr baseColWidth="10" defaultColWidth="11.44140625" defaultRowHeight="14.4" x14ac:dyDescent="0.3"/>
  <cols>
    <col min="1" max="1" width="50.5546875" style="256" customWidth="1"/>
    <col min="2" max="2" width="13.44140625" style="256" customWidth="1"/>
    <col min="3" max="3" width="14.33203125" style="256" customWidth="1"/>
    <col min="4" max="4" width="15.109375" style="256" customWidth="1"/>
    <col min="5" max="5" width="13" style="256" customWidth="1"/>
    <col min="6" max="14" width="11.5546875" style="256" customWidth="1"/>
    <col min="15" max="16384" width="11.44140625" style="256"/>
  </cols>
  <sheetData>
    <row r="2" spans="1:16" x14ac:dyDescent="0.3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6" x14ac:dyDescent="0.3">
      <c r="A3" s="257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6" x14ac:dyDescent="0.3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pans="1:16" ht="19.5" customHeight="1" x14ac:dyDescent="0.3">
      <c r="A5" s="260" t="s">
        <v>54</v>
      </c>
      <c r="B5" s="295" t="s">
        <v>104</v>
      </c>
      <c r="C5" s="295">
        <v>2020</v>
      </c>
      <c r="D5" s="295">
        <v>2019</v>
      </c>
      <c r="E5" s="295">
        <v>2018</v>
      </c>
      <c r="F5" s="295" t="s">
        <v>84</v>
      </c>
      <c r="G5" s="258">
        <v>2016</v>
      </c>
      <c r="H5" s="258">
        <v>2015</v>
      </c>
      <c r="I5" s="258">
        <v>2014</v>
      </c>
      <c r="J5" s="258">
        <v>2013</v>
      </c>
      <c r="K5" s="258">
        <v>2012</v>
      </c>
      <c r="L5" s="258">
        <v>2011</v>
      </c>
      <c r="M5" s="258">
        <v>2010</v>
      </c>
      <c r="N5" s="258">
        <v>2009</v>
      </c>
      <c r="O5" s="258">
        <v>2008</v>
      </c>
    </row>
    <row r="6" spans="1:16" ht="19.5" customHeight="1" x14ac:dyDescent="0.3">
      <c r="A6" s="113" t="s">
        <v>0</v>
      </c>
      <c r="B6" s="298"/>
      <c r="C6" s="298"/>
      <c r="D6" s="294"/>
      <c r="E6" s="295"/>
      <c r="F6" s="295"/>
      <c r="G6" s="258"/>
      <c r="H6" s="258"/>
      <c r="I6" s="258"/>
      <c r="J6" s="258"/>
      <c r="K6" s="258"/>
      <c r="L6" s="258"/>
      <c r="M6" s="258"/>
      <c r="N6" s="258"/>
      <c r="O6" s="258"/>
    </row>
    <row r="7" spans="1:16" ht="19.5" customHeight="1" x14ac:dyDescent="0.3">
      <c r="A7" s="261" t="s">
        <v>74</v>
      </c>
      <c r="B7" s="311">
        <v>23.047809066604877</v>
      </c>
      <c r="C7" s="311">
        <v>23.638320683983146</v>
      </c>
      <c r="D7" s="311">
        <v>42.154889975309409</v>
      </c>
      <c r="E7" s="262">
        <v>41.505660000000006</v>
      </c>
      <c r="F7" s="262">
        <v>39.427900578040507</v>
      </c>
      <c r="G7" s="262">
        <v>39.916799999999995</v>
      </c>
      <c r="H7" s="262">
        <v>39.599999999999994</v>
      </c>
      <c r="I7" s="262">
        <v>37.087542864665288</v>
      </c>
      <c r="J7" s="262">
        <v>34.628891563646391</v>
      </c>
      <c r="K7" s="262">
        <v>32.266044937779533</v>
      </c>
      <c r="L7" s="262">
        <v>26.542982443500001</v>
      </c>
      <c r="M7" s="262">
        <v>26.048489100000001</v>
      </c>
      <c r="N7" s="262">
        <v>25.643619999999999</v>
      </c>
      <c r="O7" s="262">
        <v>26.05</v>
      </c>
    </row>
    <row r="8" spans="1:16" ht="19.5" customHeight="1" x14ac:dyDescent="0.3">
      <c r="A8" s="261" t="s">
        <v>67</v>
      </c>
      <c r="B8" s="286">
        <v>18.30834313935452</v>
      </c>
      <c r="C8" s="286">
        <v>18.609640945343035</v>
      </c>
      <c r="D8" s="286">
        <v>33.114520543478605</v>
      </c>
      <c r="E8" s="262">
        <v>32.408261000000003</v>
      </c>
      <c r="F8" s="262">
        <v>30.5310576431086</v>
      </c>
      <c r="G8" s="262">
        <v>30.687999999999999</v>
      </c>
      <c r="H8" s="262">
        <v>30.4</v>
      </c>
      <c r="I8" s="262">
        <v>28.014847570136869</v>
      </c>
      <c r="J8" s="262">
        <v>26.157654127111922</v>
      </c>
      <c r="K8" s="262">
        <v>24.426431161719201</v>
      </c>
      <c r="L8" s="262">
        <v>21.168265428000002</v>
      </c>
      <c r="M8" s="262">
        <v>20.753201400000002</v>
      </c>
      <c r="N8" s="262">
        <v>20.5274</v>
      </c>
      <c r="O8" s="262">
        <v>20.84</v>
      </c>
    </row>
    <row r="9" spans="1:16" ht="19.5" customHeight="1" x14ac:dyDescent="0.3">
      <c r="A9" s="261" t="s">
        <v>66</v>
      </c>
      <c r="B9" s="286">
        <v>4.7394659272503601</v>
      </c>
      <c r="C9" s="286">
        <v>5.0286797386401094</v>
      </c>
      <c r="D9" s="286">
        <v>9.0403694318308023</v>
      </c>
      <c r="E9" s="262">
        <v>9.0973989999999993</v>
      </c>
      <c r="F9" s="262">
        <v>8.8968429349319091</v>
      </c>
      <c r="G9" s="262">
        <v>9.2287999999999997</v>
      </c>
      <c r="H9" s="262">
        <v>9.1999999999999993</v>
      </c>
      <c r="I9" s="262">
        <v>9.0726952945284189</v>
      </c>
      <c r="J9" s="262">
        <v>8.4712374365344711</v>
      </c>
      <c r="K9" s="262">
        <v>7.8396137760603315</v>
      </c>
      <c r="L9" s="262">
        <v>5.3747170154999999</v>
      </c>
      <c r="M9" s="262">
        <v>5.2952877000000003</v>
      </c>
      <c r="N9" s="262">
        <v>5.1162200000000002</v>
      </c>
      <c r="O9" s="262">
        <v>5.21</v>
      </c>
    </row>
    <row r="10" spans="1:16" ht="19.5" customHeight="1" x14ac:dyDescent="0.3">
      <c r="A10" s="261"/>
      <c r="B10" s="263"/>
      <c r="C10" s="263"/>
      <c r="D10" s="263"/>
      <c r="E10" s="261"/>
      <c r="F10" s="261"/>
      <c r="G10" s="262"/>
      <c r="H10" s="262"/>
      <c r="I10" s="262"/>
      <c r="J10" s="262"/>
      <c r="K10" s="262"/>
      <c r="L10" s="262"/>
      <c r="M10" s="262"/>
      <c r="N10" s="262"/>
      <c r="O10" s="262"/>
    </row>
    <row r="11" spans="1:16" ht="19.5" customHeight="1" x14ac:dyDescent="0.3">
      <c r="A11" s="261"/>
      <c r="B11" s="263"/>
      <c r="C11" s="263"/>
      <c r="D11" s="263"/>
      <c r="E11" s="261"/>
      <c r="F11" s="261"/>
      <c r="G11" s="262"/>
      <c r="H11" s="262"/>
      <c r="I11" s="262"/>
      <c r="J11" s="262"/>
      <c r="K11" s="262"/>
      <c r="L11" s="262"/>
      <c r="M11" s="262"/>
      <c r="N11" s="262"/>
      <c r="O11" s="262"/>
    </row>
    <row r="12" spans="1:16" ht="19.5" customHeight="1" x14ac:dyDescent="0.3">
      <c r="A12" s="152" t="s">
        <v>86</v>
      </c>
      <c r="B12" s="273"/>
      <c r="C12" s="273"/>
      <c r="D12" s="273"/>
      <c r="E12" s="152"/>
      <c r="F12" s="152"/>
      <c r="G12" s="261"/>
      <c r="H12" s="261"/>
      <c r="I12" s="261"/>
      <c r="J12" s="261"/>
      <c r="K12" s="261"/>
      <c r="L12" s="261"/>
      <c r="M12" s="261"/>
      <c r="N12" s="261"/>
      <c r="O12" s="261"/>
    </row>
    <row r="13" spans="1:16" ht="14.25" customHeight="1" x14ac:dyDescent="0.3">
      <c r="A13" s="152"/>
      <c r="B13" s="273"/>
      <c r="C13" s="273"/>
      <c r="D13" s="273"/>
      <c r="E13" s="152"/>
      <c r="F13" s="152"/>
      <c r="G13" s="261"/>
      <c r="H13" s="261"/>
      <c r="I13" s="261"/>
      <c r="J13" s="261"/>
      <c r="K13" s="261"/>
      <c r="L13" s="261"/>
      <c r="M13" s="261"/>
      <c r="N13" s="261"/>
      <c r="O13" s="261"/>
    </row>
    <row r="14" spans="1:16" ht="19.5" customHeight="1" x14ac:dyDescent="0.3">
      <c r="A14" s="261" t="s">
        <v>68</v>
      </c>
      <c r="B14" s="346">
        <v>1036</v>
      </c>
      <c r="C14" s="346">
        <v>1026.0673796791443</v>
      </c>
      <c r="D14" s="346">
        <v>1025.9928844765343</v>
      </c>
      <c r="E14" s="346">
        <v>957.89716181882557</v>
      </c>
      <c r="F14" s="346">
        <v>921.98506505816442</v>
      </c>
      <c r="G14" s="346">
        <v>858.8394603369602</v>
      </c>
      <c r="H14" s="346">
        <v>919.29054999999994</v>
      </c>
      <c r="I14" s="346">
        <v>785.18365354257594</v>
      </c>
      <c r="J14" s="346">
        <v>737.75436287799789</v>
      </c>
      <c r="K14" s="346">
        <v>684.87689030883928</v>
      </c>
      <c r="L14" s="346">
        <v>709.03105573419077</v>
      </c>
      <c r="M14" s="346">
        <v>671.04511400651472</v>
      </c>
      <c r="N14" s="346">
        <v>686.59137931034479</v>
      </c>
      <c r="O14" s="346">
        <v>647.89209204545455</v>
      </c>
      <c r="P14" s="266"/>
    </row>
    <row r="15" spans="1:16" ht="19.5" customHeight="1" x14ac:dyDescent="0.3">
      <c r="A15" s="261" t="s">
        <v>69</v>
      </c>
      <c r="B15" s="346">
        <v>83</v>
      </c>
      <c r="C15" s="346">
        <v>81.952941176470588</v>
      </c>
      <c r="D15" s="346">
        <v>105.7557833935018</v>
      </c>
      <c r="E15" s="346">
        <v>79.566020588429097</v>
      </c>
      <c r="F15" s="346">
        <v>79.789362343817317</v>
      </c>
      <c r="G15" s="346">
        <v>137.10415672165669</v>
      </c>
      <c r="H15" s="346">
        <v>162.78789177499999</v>
      </c>
      <c r="I15" s="346">
        <v>139.38544433094995</v>
      </c>
      <c r="J15" s="346">
        <v>115.09001564129301</v>
      </c>
      <c r="K15" s="346">
        <v>108.38495740149095</v>
      </c>
      <c r="L15" s="346">
        <v>32.966666666666661</v>
      </c>
      <c r="M15" s="346">
        <v>6.6145765472312705</v>
      </c>
      <c r="N15" s="346">
        <v>23.876001112347051</v>
      </c>
      <c r="O15" s="346">
        <v>14.442576136363636</v>
      </c>
    </row>
    <row r="16" spans="1:16" ht="19.5" customHeight="1" x14ac:dyDescent="0.3">
      <c r="A16" s="264" t="s">
        <v>70</v>
      </c>
      <c r="B16" s="346">
        <v>1119</v>
      </c>
      <c r="C16" s="346">
        <v>1108.0203208556147</v>
      </c>
      <c r="D16" s="346">
        <v>1131.7486678700361</v>
      </c>
      <c r="E16" s="346">
        <v>1037.4631824072546</v>
      </c>
      <c r="F16" s="346">
        <v>1001.7744274019818</v>
      </c>
      <c r="G16" s="346">
        <v>995.94361705861695</v>
      </c>
      <c r="H16" s="346">
        <v>1082.0784417749999</v>
      </c>
      <c r="I16" s="346">
        <v>924.56909787352572</v>
      </c>
      <c r="J16" s="346">
        <v>852.8443785192909</v>
      </c>
      <c r="K16" s="346">
        <v>793.26184771033013</v>
      </c>
      <c r="L16" s="346">
        <v>741.99772240085747</v>
      </c>
      <c r="M16" s="346">
        <v>677.65969055374603</v>
      </c>
      <c r="N16" s="346">
        <v>710.46738042269169</v>
      </c>
      <c r="O16" s="346">
        <v>662.33466818181819</v>
      </c>
    </row>
    <row r="17" spans="1:18" ht="19.5" customHeight="1" x14ac:dyDescent="0.3">
      <c r="A17" s="265" t="s">
        <v>71</v>
      </c>
      <c r="B17" s="347">
        <v>48.551252605670662</v>
      </c>
      <c r="C17" s="347">
        <v>46.873901732215145</v>
      </c>
      <c r="D17" s="347">
        <v>26.847387539925119</v>
      </c>
      <c r="E17" s="347">
        <v>24.995703776479026</v>
      </c>
      <c r="F17" s="347">
        <v>25.407754729906245</v>
      </c>
      <c r="G17" s="347">
        <v>24.950487440341337</v>
      </c>
      <c r="H17" s="347">
        <v>27.325213176136366</v>
      </c>
      <c r="I17" s="347">
        <v>24.929370523340815</v>
      </c>
      <c r="J17" s="347">
        <v>24.628116581548682</v>
      </c>
      <c r="K17" s="347">
        <v>24.585035111679243</v>
      </c>
      <c r="L17" s="347">
        <v>27.954572323599685</v>
      </c>
      <c r="M17" s="347">
        <v>26.015316587162285</v>
      </c>
      <c r="N17" s="347">
        <v>27.705424601623786</v>
      </c>
      <c r="O17" s="347">
        <v>25.425515093351944</v>
      </c>
    </row>
    <row r="18" spans="1:18" x14ac:dyDescent="0.3">
      <c r="A18" s="257"/>
      <c r="B18" s="257"/>
      <c r="C18" s="257"/>
      <c r="D18" s="257"/>
      <c r="E18" s="257"/>
      <c r="F18" s="259"/>
      <c r="G18" s="259"/>
      <c r="H18" s="259"/>
      <c r="I18" s="259"/>
      <c r="J18" s="259"/>
      <c r="K18" s="259"/>
      <c r="L18" s="259"/>
      <c r="M18" s="259"/>
      <c r="N18" s="259"/>
    </row>
    <row r="19" spans="1:18" x14ac:dyDescent="0.3">
      <c r="A19" s="281" t="s">
        <v>85</v>
      </c>
      <c r="B19" s="281"/>
      <c r="C19" s="281"/>
      <c r="D19" s="281"/>
      <c r="E19" s="277"/>
      <c r="F19" s="279"/>
      <c r="G19" s="279"/>
      <c r="H19" s="279"/>
      <c r="I19" s="279"/>
      <c r="J19" s="279"/>
      <c r="K19" s="279"/>
      <c r="L19" s="279"/>
      <c r="M19" s="279"/>
      <c r="N19" s="279"/>
      <c r="O19" s="280"/>
    </row>
    <row r="20" spans="1:18" x14ac:dyDescent="0.3">
      <c r="A20" s="281" t="s">
        <v>75</v>
      </c>
      <c r="B20" s="281"/>
      <c r="C20" s="281"/>
      <c r="D20" s="281"/>
      <c r="E20" s="275"/>
      <c r="F20" s="276"/>
      <c r="G20" s="276"/>
      <c r="H20" s="276"/>
      <c r="I20" s="276"/>
      <c r="J20" s="276"/>
      <c r="K20" s="276"/>
      <c r="L20" s="276"/>
      <c r="M20" s="276"/>
      <c r="N20" s="276"/>
      <c r="O20" s="280"/>
    </row>
    <row r="21" spans="1:18" x14ac:dyDescent="0.3">
      <c r="A21" s="281" t="s">
        <v>105</v>
      </c>
      <c r="B21" s="278"/>
      <c r="C21" s="278"/>
      <c r="D21" s="278"/>
      <c r="E21" s="278"/>
      <c r="F21" s="279"/>
      <c r="G21" s="279"/>
      <c r="H21" s="279"/>
      <c r="I21" s="279"/>
      <c r="J21" s="279"/>
      <c r="K21" s="279"/>
      <c r="L21" s="279"/>
      <c r="M21" s="279"/>
      <c r="N21" s="279"/>
      <c r="O21" s="280"/>
    </row>
    <row r="22" spans="1:18" x14ac:dyDescent="0.3">
      <c r="A22" s="277" t="s">
        <v>73</v>
      </c>
      <c r="B22" s="277"/>
      <c r="C22" s="277"/>
      <c r="D22" s="277"/>
      <c r="E22" s="257"/>
      <c r="F22" s="282"/>
      <c r="G22" s="257"/>
      <c r="H22" s="257"/>
      <c r="I22" s="257"/>
      <c r="J22" s="257"/>
      <c r="K22" s="257"/>
      <c r="L22" s="257"/>
      <c r="M22" s="257"/>
      <c r="N22" s="257"/>
      <c r="O22" s="280"/>
    </row>
    <row r="23" spans="1:18" x14ac:dyDescent="0.3">
      <c r="A23" s="277"/>
      <c r="B23" s="27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80"/>
    </row>
    <row r="27" spans="1:18" x14ac:dyDescent="0.3">
      <c r="R27" s="87"/>
    </row>
    <row r="28" spans="1:18" x14ac:dyDescent="0.3">
      <c r="R28" s="87"/>
    </row>
    <row r="29" spans="1:18" x14ac:dyDescent="0.3">
      <c r="R29" s="87"/>
    </row>
    <row r="30" spans="1:18" x14ac:dyDescent="0.3">
      <c r="R30" s="87"/>
    </row>
    <row r="31" spans="1:18" x14ac:dyDescent="0.3">
      <c r="R31" s="87"/>
    </row>
    <row r="33" spans="4:4" ht="14.25" customHeight="1" x14ac:dyDescent="0.3"/>
    <row r="37" spans="4:4" x14ac:dyDescent="0.3">
      <c r="D37"/>
    </row>
    <row r="38" spans="4:4" x14ac:dyDescent="0.3">
      <c r="D38"/>
    </row>
    <row r="39" spans="4:4" x14ac:dyDescent="0.3">
      <c r="D39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W49"/>
  <sheetViews>
    <sheetView zoomScaleNormal="100" workbookViewId="0">
      <selection activeCell="B43" sqref="B43"/>
    </sheetView>
  </sheetViews>
  <sheetFormatPr baseColWidth="10" defaultColWidth="9.109375" defaultRowHeight="13.2" x14ac:dyDescent="0.25"/>
  <cols>
    <col min="1" max="1" width="11.44140625" style="2" customWidth="1"/>
    <col min="2" max="2" width="46.44140625" style="2" customWidth="1"/>
    <col min="3" max="3" width="15.88671875" style="2" customWidth="1"/>
    <col min="4" max="4" width="17.109375" style="2" customWidth="1"/>
    <col min="5" max="5" width="14.44140625" style="2" customWidth="1"/>
    <col min="6" max="6" width="15.5546875" style="2" customWidth="1"/>
    <col min="7" max="7" width="16.33203125" style="2" customWidth="1"/>
    <col min="8" max="8" width="14.6640625" style="2" customWidth="1"/>
    <col min="9" max="9" width="15" style="2" customWidth="1"/>
    <col min="10" max="10" width="13.109375" style="2" customWidth="1"/>
    <col min="11" max="11" width="13.33203125" style="2" customWidth="1"/>
    <col min="12" max="12" width="15.5546875" style="2" customWidth="1"/>
    <col min="13" max="13" width="15.44140625" style="2" customWidth="1"/>
    <col min="14" max="14" width="14.44140625" style="2" customWidth="1"/>
    <col min="15" max="15" width="13.88671875" style="2" customWidth="1"/>
    <col min="16" max="16" width="14.109375" style="2" customWidth="1"/>
    <col min="17" max="17" width="13.6640625" style="2" customWidth="1"/>
    <col min="18" max="18" width="9.109375" style="2"/>
    <col min="19" max="19" width="11.44140625" style="2" bestFit="1" customWidth="1"/>
    <col min="20" max="20" width="16" style="2" customWidth="1"/>
    <col min="21" max="16384" width="9.109375" style="2"/>
  </cols>
  <sheetData>
    <row r="1" spans="1:23" ht="18" x14ac:dyDescent="0.35">
      <c r="B1" s="21"/>
      <c r="C1" s="21"/>
      <c r="D1" s="21"/>
      <c r="E1" s="21"/>
      <c r="F1" s="21"/>
      <c r="G1" s="21"/>
      <c r="H1" s="21"/>
      <c r="I1" s="21"/>
      <c r="J1" s="79"/>
      <c r="K1" s="79"/>
      <c r="L1" s="79"/>
      <c r="M1" s="79"/>
      <c r="N1" s="79"/>
      <c r="O1" s="79"/>
      <c r="P1" s="79"/>
    </row>
    <row r="2" spans="1:23" ht="14.4" x14ac:dyDescent="0.3">
      <c r="B2" s="23"/>
      <c r="C2" s="23"/>
      <c r="P2" s="79"/>
      <c r="Q2" s="287"/>
      <c r="R2" s="287"/>
      <c r="S2" s="287"/>
      <c r="T2" s="287"/>
      <c r="U2" s="287"/>
      <c r="V2" s="287"/>
      <c r="W2" s="287"/>
    </row>
    <row r="3" spans="1:23" ht="14.4" x14ac:dyDescent="0.3">
      <c r="A3" s="287"/>
      <c r="B3" s="287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79"/>
      <c r="Q3" s="287"/>
      <c r="R3" s="287"/>
      <c r="S3" s="287"/>
      <c r="T3" s="287"/>
      <c r="U3" s="287"/>
      <c r="V3" s="287"/>
      <c r="W3" s="287"/>
    </row>
    <row r="4" spans="1:23" ht="14.4" x14ac:dyDescent="0.3">
      <c r="B4" s="19"/>
      <c r="C4" s="19"/>
      <c r="D4" s="19"/>
      <c r="E4" s="19"/>
      <c r="F4" s="19"/>
      <c r="G4" s="19"/>
      <c r="H4" s="19"/>
      <c r="I4" s="19"/>
      <c r="J4" s="20"/>
      <c r="K4" s="20"/>
      <c r="L4" s="20"/>
      <c r="M4" s="20"/>
      <c r="N4" s="20"/>
      <c r="O4" s="20"/>
      <c r="P4" s="79"/>
    </row>
    <row r="5" spans="1:23" ht="14.4" x14ac:dyDescent="0.3">
      <c r="A5" s="1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79"/>
    </row>
    <row r="6" spans="1:23" ht="14.4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79"/>
    </row>
    <row r="7" spans="1:23" ht="14.4" x14ac:dyDescent="0.3">
      <c r="A7" s="1"/>
      <c r="B7" s="4"/>
      <c r="C7" s="5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9"/>
    </row>
    <row r="8" spans="1:23" ht="14.4" x14ac:dyDescent="0.3">
      <c r="A8" s="1"/>
      <c r="B8" s="4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9"/>
    </row>
    <row r="9" spans="1:23" ht="14.4" x14ac:dyDescent="0.3">
      <c r="A9" s="1"/>
      <c r="B9" s="1"/>
      <c r="C9" s="28">
        <v>2021</v>
      </c>
      <c r="D9" s="28">
        <v>2020</v>
      </c>
      <c r="E9" s="28">
        <v>2019</v>
      </c>
      <c r="F9" s="28">
        <v>2018</v>
      </c>
      <c r="G9" s="28">
        <v>2017</v>
      </c>
      <c r="H9" s="28">
        <v>2016</v>
      </c>
      <c r="I9" s="28">
        <v>2015</v>
      </c>
      <c r="J9" s="28">
        <v>2014</v>
      </c>
      <c r="K9" s="28">
        <v>2013</v>
      </c>
      <c r="L9" s="28">
        <v>2012</v>
      </c>
      <c r="M9" s="28">
        <v>2011</v>
      </c>
      <c r="N9" s="28">
        <v>2010</v>
      </c>
      <c r="O9" s="28">
        <v>2009</v>
      </c>
      <c r="P9" s="28">
        <v>2008</v>
      </c>
      <c r="Q9" s="79"/>
    </row>
    <row r="10" spans="1:23" ht="14.4" x14ac:dyDescent="0.3">
      <c r="A10" s="1"/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79"/>
    </row>
    <row r="11" spans="1:23" ht="14.4" x14ac:dyDescent="0.3">
      <c r="A11" s="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79"/>
    </row>
    <row r="12" spans="1:23" ht="14.4" x14ac:dyDescent="0.3">
      <c r="A12" s="1"/>
      <c r="B12" s="30" t="s">
        <v>23</v>
      </c>
      <c r="C12" s="33">
        <v>72.582477164421931</v>
      </c>
      <c r="D12" s="33">
        <v>74.348676297477127</v>
      </c>
      <c r="E12" s="33">
        <v>119.43226211435369</v>
      </c>
      <c r="F12" s="33">
        <v>121.822508875221</v>
      </c>
      <c r="G12" s="33">
        <v>117.60217299999999</v>
      </c>
      <c r="H12" s="33">
        <v>106.07154593386869</v>
      </c>
      <c r="I12" s="47">
        <v>94.9521132263623</v>
      </c>
      <c r="J12" s="47">
        <v>87.555319289672298</v>
      </c>
      <c r="K12" s="33">
        <v>84.722121459008605</v>
      </c>
      <c r="L12" s="33">
        <v>82.037715949509519</v>
      </c>
      <c r="M12" s="46">
        <v>80.657375764436324</v>
      </c>
      <c r="N12" s="46">
        <v>75.919343845169806</v>
      </c>
      <c r="O12" s="46">
        <v>74.306766139537942</v>
      </c>
      <c r="P12" s="33">
        <v>72.834513623168732</v>
      </c>
      <c r="Q12" s="79"/>
    </row>
    <row r="13" spans="1:23" x14ac:dyDescent="0.25">
      <c r="A13" s="1"/>
      <c r="B13" s="53" t="s">
        <v>33</v>
      </c>
      <c r="C13" s="55">
        <v>420.97836755364716</v>
      </c>
      <c r="D13" s="55">
        <f>D12*5.4</f>
        <v>401.4828520063765</v>
      </c>
      <c r="E13" s="55">
        <f t="shared" ref="E13:I13" si="0">E12*6</f>
        <v>716.59357268612212</v>
      </c>
      <c r="F13" s="55">
        <f t="shared" si="0"/>
        <v>730.93505325132605</v>
      </c>
      <c r="G13" s="55">
        <f t="shared" si="0"/>
        <v>705.61303799999996</v>
      </c>
      <c r="H13" s="55">
        <f t="shared" si="0"/>
        <v>636.42927560321209</v>
      </c>
      <c r="I13" s="55">
        <f t="shared" si="0"/>
        <v>569.71267935817377</v>
      </c>
      <c r="J13" s="55">
        <f>J12*6</f>
        <v>525.33191573803379</v>
      </c>
      <c r="K13" s="46">
        <f t="shared" ref="K13:P13" si="1">K12*6</f>
        <v>508.33272875405163</v>
      </c>
      <c r="L13" s="46">
        <f t="shared" si="1"/>
        <v>492.22629569705714</v>
      </c>
      <c r="M13" s="46">
        <f t="shared" si="1"/>
        <v>483.94425458661794</v>
      </c>
      <c r="N13" s="46">
        <f t="shared" si="1"/>
        <v>455.51606307101883</v>
      </c>
      <c r="O13" s="46">
        <f t="shared" si="1"/>
        <v>445.84059683722762</v>
      </c>
      <c r="P13" s="33">
        <f t="shared" si="1"/>
        <v>437.00708173901239</v>
      </c>
    </row>
    <row r="14" spans="1:23" x14ac:dyDescent="0.25">
      <c r="A14" s="1"/>
      <c r="B14" s="81" t="s">
        <v>17</v>
      </c>
      <c r="C14" s="48">
        <v>45.684483</v>
      </c>
      <c r="D14" s="48">
        <v>45.628906000000001</v>
      </c>
      <c r="E14" s="48">
        <v>44.836910000000003</v>
      </c>
      <c r="F14" s="48">
        <v>45.591135999999999</v>
      </c>
      <c r="G14" s="48">
        <v>45.088469000000003</v>
      </c>
      <c r="H14" s="48">
        <v>42.044023000000003</v>
      </c>
      <c r="I14" s="48">
        <f>34837496/1000000</f>
        <v>34.837496000000002</v>
      </c>
      <c r="J14" s="48">
        <v>35.176865999999997</v>
      </c>
      <c r="K14" s="34">
        <v>33.161948000000002</v>
      </c>
      <c r="L14" s="34">
        <v>30.244321192935502</v>
      </c>
      <c r="M14" s="34">
        <v>28.889858192935499</v>
      </c>
      <c r="N14" s="34">
        <v>25.141734825463001</v>
      </c>
      <c r="O14" s="45">
        <v>21.864581000000001</v>
      </c>
      <c r="P14" s="289">
        <v>21.520637895865399</v>
      </c>
    </row>
    <row r="15" spans="1:23" x14ac:dyDescent="0.25">
      <c r="A15" s="1"/>
      <c r="B15" s="81" t="s">
        <v>62</v>
      </c>
      <c r="C15" s="48">
        <v>8.8283310000000004</v>
      </c>
      <c r="D15" s="48">
        <v>8.8283310000000004</v>
      </c>
      <c r="E15" s="48">
        <v>8.7122919999999997</v>
      </c>
      <c r="F15" s="48">
        <v>8.8552499999999998</v>
      </c>
      <c r="G15" s="48">
        <v>8.7362920000000006</v>
      </c>
      <c r="H15" s="48">
        <v>8.3563299999999998</v>
      </c>
      <c r="I15" s="48">
        <f>7315009/1000000</f>
        <v>7.3150089999999999</v>
      </c>
      <c r="J15" s="48">
        <v>7.1190490000000004</v>
      </c>
      <c r="K15" s="34">
        <v>6.7721450000000001</v>
      </c>
      <c r="L15" s="34">
        <v>6.1370564046936096</v>
      </c>
      <c r="M15" s="34">
        <v>6.1029914046936096</v>
      </c>
      <c r="N15" s="34">
        <v>5.7086847065370696</v>
      </c>
      <c r="O15" s="45">
        <v>5.6806590000000003</v>
      </c>
      <c r="P15" s="34">
        <v>5.8887597848456101</v>
      </c>
    </row>
    <row r="16" spans="1:23" x14ac:dyDescent="0.25">
      <c r="A16" s="1"/>
      <c r="B16" s="30" t="s">
        <v>24</v>
      </c>
      <c r="C16" s="33">
        <v>6076.036239</v>
      </c>
      <c r="D16" s="33">
        <v>6068.6444979999997</v>
      </c>
      <c r="E16" s="33">
        <v>5963.3090300000003</v>
      </c>
      <c r="F16" s="33">
        <v>6063.6210879999999</v>
      </c>
      <c r="G16" s="33">
        <v>5996.7663769999999</v>
      </c>
      <c r="H16" s="55">
        <f t="shared" ref="H16:M16" si="2">H14*133</f>
        <v>5591.8550590000004</v>
      </c>
      <c r="I16" s="55">
        <f t="shared" si="2"/>
        <v>4633.3869679999998</v>
      </c>
      <c r="J16" s="55">
        <f t="shared" si="2"/>
        <v>4678.5231779999995</v>
      </c>
      <c r="K16" s="38">
        <f t="shared" si="2"/>
        <v>4410.539084</v>
      </c>
      <c r="L16" s="38">
        <f t="shared" si="2"/>
        <v>4022.4947186604218</v>
      </c>
      <c r="M16" s="38">
        <f t="shared" si="2"/>
        <v>3842.3511396604213</v>
      </c>
      <c r="N16" s="38">
        <v>3341.3425142118199</v>
      </c>
      <c r="O16" s="46">
        <v>2870.9429819297702</v>
      </c>
      <c r="P16" s="33">
        <v>2769.1607617527602</v>
      </c>
    </row>
    <row r="17" spans="1:17" x14ac:dyDescent="0.25">
      <c r="A17" s="1"/>
      <c r="B17" s="57" t="s">
        <v>1</v>
      </c>
      <c r="C17" s="181">
        <f>C13/C16</f>
        <v>6.9285032378762143E-2</v>
      </c>
      <c r="D17" s="181">
        <f t="shared" ref="D17:P17" si="3">D13/D16</f>
        <v>6.6156923863095018E-2</v>
      </c>
      <c r="E17" s="181">
        <f t="shared" si="3"/>
        <v>0.12016710337852843</v>
      </c>
      <c r="F17" s="181">
        <f t="shared" si="3"/>
        <v>0.12054431545827589</v>
      </c>
      <c r="G17" s="181">
        <f t="shared" si="3"/>
        <v>0.11766558735826503</v>
      </c>
      <c r="H17" s="181">
        <f t="shared" si="3"/>
        <v>0.11381362157784999</v>
      </c>
      <c r="I17" s="230">
        <f t="shared" si="3"/>
        <v>0.12295814774220987</v>
      </c>
      <c r="J17" s="230">
        <f t="shared" si="3"/>
        <v>0.11228584229491956</v>
      </c>
      <c r="K17" s="83">
        <f t="shared" si="3"/>
        <v>0.1152541036532512</v>
      </c>
      <c r="L17" s="83">
        <f t="shared" si="3"/>
        <v>0.12236841316748309</v>
      </c>
      <c r="M17" s="83">
        <f t="shared" si="3"/>
        <v>0.12595003345513806</v>
      </c>
      <c r="N17" s="83">
        <f t="shared" si="3"/>
        <v>0.13632725802085849</v>
      </c>
      <c r="O17" s="83">
        <f t="shared" si="3"/>
        <v>0.15529413145556295</v>
      </c>
      <c r="P17" s="83">
        <f t="shared" si="3"/>
        <v>0.15781210241560897</v>
      </c>
    </row>
    <row r="18" spans="1:17" x14ac:dyDescent="0.25">
      <c r="A18" s="1"/>
      <c r="B18" s="57" t="s">
        <v>18</v>
      </c>
      <c r="C18" s="47">
        <v>381.17899999999997</v>
      </c>
      <c r="D18" s="47">
        <v>375.07900000000001</v>
      </c>
      <c r="E18" s="47">
        <v>371.80099999999999</v>
      </c>
      <c r="F18" s="47">
        <v>373.18400000000003</v>
      </c>
      <c r="G18" s="47">
        <v>378.35700000000003</v>
      </c>
      <c r="H18" s="55">
        <v>362.94200000000001</v>
      </c>
      <c r="I18" s="55">
        <f>337902/1000</f>
        <v>337.90199999999999</v>
      </c>
      <c r="J18" s="55">
        <v>323.88799999999998</v>
      </c>
      <c r="K18" s="33">
        <v>288.03500000000003</v>
      </c>
      <c r="L18" s="33">
        <v>288.99299999999999</v>
      </c>
      <c r="M18" s="33">
        <v>287.416</v>
      </c>
      <c r="N18" s="33">
        <v>257.16000000000003</v>
      </c>
      <c r="O18" s="46">
        <v>269.07600000000002</v>
      </c>
      <c r="P18" s="33">
        <v>263.40100000000001</v>
      </c>
    </row>
    <row r="19" spans="1:17" x14ac:dyDescent="0.25">
      <c r="A19" s="1"/>
      <c r="B19" s="86" t="s">
        <v>63</v>
      </c>
      <c r="C19" s="59">
        <v>291.14100000000002</v>
      </c>
      <c r="D19" s="59">
        <v>288.81900000000002</v>
      </c>
      <c r="E19" s="59">
        <v>285.62299999999999</v>
      </c>
      <c r="F19" s="59">
        <v>286.62700000000001</v>
      </c>
      <c r="G19" s="59">
        <v>281.05099999999999</v>
      </c>
      <c r="H19" s="55">
        <v>269.99599999999998</v>
      </c>
      <c r="I19" s="55">
        <f>242208/1000</f>
        <v>242.208</v>
      </c>
      <c r="J19" s="55">
        <v>237.36799999999999</v>
      </c>
      <c r="K19" s="33">
        <v>278.95350000000002</v>
      </c>
      <c r="L19" s="33">
        <v>259.95620000000002</v>
      </c>
      <c r="M19" s="33">
        <v>245.863</v>
      </c>
      <c r="N19" s="33">
        <v>222.41431801058499</v>
      </c>
      <c r="O19" s="46">
        <v>218.76125999999999</v>
      </c>
      <c r="P19" s="33">
        <v>234.48469681045901</v>
      </c>
    </row>
    <row r="20" spans="1:17" x14ac:dyDescent="0.25">
      <c r="A20" s="1"/>
      <c r="B20" s="30" t="s">
        <v>5</v>
      </c>
      <c r="C20" s="34">
        <v>30.557434370287929</v>
      </c>
      <c r="D20" s="34">
        <v>30.567002170909809</v>
      </c>
      <c r="E20" s="34">
        <v>30.502767634259147</v>
      </c>
      <c r="F20" s="34">
        <v>30.894681938547311</v>
      </c>
      <c r="G20" s="34">
        <v>31.084365471035508</v>
      </c>
      <c r="H20" s="224">
        <v>30.95</v>
      </c>
      <c r="I20" s="57">
        <v>30.2</v>
      </c>
      <c r="J20" s="86">
        <v>30.1</v>
      </c>
      <c r="K20" s="36">
        <v>30.1</v>
      </c>
      <c r="L20" s="30">
        <v>31.2</v>
      </c>
      <c r="M20" s="48">
        <v>31.3</v>
      </c>
      <c r="N20" s="45">
        <v>32.1</v>
      </c>
      <c r="O20" s="45">
        <v>31.2</v>
      </c>
      <c r="P20" s="34">
        <v>31.7</v>
      </c>
    </row>
    <row r="21" spans="1:17" x14ac:dyDescent="0.25">
      <c r="A21" s="52"/>
      <c r="B21" s="86" t="s">
        <v>34</v>
      </c>
      <c r="C21" s="59">
        <f>D21</f>
        <v>85.398500000000013</v>
      </c>
      <c r="D21" s="59">
        <f>E21</f>
        <v>85.398500000000013</v>
      </c>
      <c r="E21" s="33">
        <v>85.398500000000013</v>
      </c>
      <c r="F21" s="33">
        <v>85.398500000000013</v>
      </c>
      <c r="G21" s="33">
        <v>85.398500000000013</v>
      </c>
      <c r="H21" s="47">
        <f>J21</f>
        <v>85.398500000000013</v>
      </c>
      <c r="I21" s="47">
        <f>85.3985-4.456</f>
        <v>80.942499999999995</v>
      </c>
      <c r="J21" s="47">
        <f>K21+3.277</f>
        <v>85.398500000000013</v>
      </c>
      <c r="K21" s="33">
        <f>N21+4.4</f>
        <v>82.121500000000012</v>
      </c>
      <c r="L21" s="55">
        <f>M21+0.6</f>
        <v>80.521500000000003</v>
      </c>
      <c r="M21" s="55">
        <f>N21+2.2</f>
        <v>79.921500000000009</v>
      </c>
      <c r="N21" s="38">
        <f>(1.632+1.794)/2+5.3+O21</f>
        <v>77.721500000000006</v>
      </c>
      <c r="O21" s="46">
        <f>P21-5.3</f>
        <v>70.708500000000001</v>
      </c>
      <c r="P21" s="33">
        <f>(1.712+1.745)/2+74.28</f>
        <v>76.008499999999998</v>
      </c>
    </row>
    <row r="22" spans="1:17" ht="14.4" x14ac:dyDescent="0.3">
      <c r="A22" s="1"/>
      <c r="B22" s="30"/>
      <c r="C22" s="30"/>
      <c r="D22" s="30"/>
      <c r="E22" s="30"/>
      <c r="F22" s="30"/>
      <c r="G22" s="30"/>
      <c r="H22" s="30"/>
      <c r="I22" s="30"/>
      <c r="J22" s="57"/>
      <c r="K22" s="30"/>
      <c r="L22" s="30"/>
      <c r="M22" s="30"/>
      <c r="N22" s="30"/>
      <c r="O22" s="30"/>
      <c r="P22" s="30"/>
      <c r="Q22" s="79"/>
    </row>
    <row r="23" spans="1:17" ht="14.4" x14ac:dyDescent="0.3">
      <c r="A23" s="1"/>
      <c r="B23" s="30" t="s">
        <v>6</v>
      </c>
      <c r="C23" s="225">
        <v>0.27281211779929382</v>
      </c>
      <c r="D23" s="225">
        <v>0.25754524628702635</v>
      </c>
      <c r="E23" s="225">
        <v>0.13977379063637199</v>
      </c>
      <c r="F23" s="85">
        <v>0.14199999999999999</v>
      </c>
      <c r="G23" s="246">
        <v>0.14340422944395764</v>
      </c>
      <c r="H23" s="225">
        <v>0.15555236033554662</v>
      </c>
      <c r="I23" s="225">
        <v>0.15173442190497571</v>
      </c>
      <c r="J23" s="227">
        <v>0.16900000000000001</v>
      </c>
      <c r="K23" s="85">
        <v>0.16639636642582761</v>
      </c>
      <c r="L23" s="71">
        <v>0.15704158976418162</v>
      </c>
      <c r="M23" s="54">
        <v>0.156360984313445</v>
      </c>
      <c r="N23" s="54">
        <v>0.1583</v>
      </c>
      <c r="O23" s="54">
        <v>0.15840000000000001</v>
      </c>
      <c r="P23" s="30">
        <v>0.18</v>
      </c>
      <c r="Q23" s="79"/>
    </row>
    <row r="24" spans="1:17" ht="14.4" x14ac:dyDescent="0.3">
      <c r="A24" s="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53"/>
      <c r="N24" s="30"/>
      <c r="O24" s="30"/>
      <c r="P24" s="30"/>
      <c r="Q24" s="79"/>
    </row>
    <row r="25" spans="1:17" ht="14.4" x14ac:dyDescent="0.3">
      <c r="A25" s="1"/>
      <c r="B25" s="31" t="s">
        <v>2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56"/>
      <c r="N25" s="31"/>
      <c r="O25" s="31"/>
      <c r="P25" s="31"/>
      <c r="Q25" s="79"/>
    </row>
    <row r="26" spans="1:17" ht="14.4" x14ac:dyDescent="0.3">
      <c r="A26" s="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53"/>
      <c r="N26" s="30"/>
      <c r="O26" s="30"/>
      <c r="P26" s="30"/>
      <c r="Q26" s="79"/>
    </row>
    <row r="27" spans="1:17" ht="14.4" x14ac:dyDescent="0.3">
      <c r="A27" s="1"/>
      <c r="B27" s="53" t="s">
        <v>3</v>
      </c>
      <c r="C27" s="321">
        <v>726.21839107418668</v>
      </c>
      <c r="D27" s="321">
        <v>760.13852512087612</v>
      </c>
      <c r="E27" s="321">
        <v>1187.2675675239263</v>
      </c>
      <c r="F27" s="321">
        <v>1203.9529737319313</v>
      </c>
      <c r="G27" s="321">
        <v>1169.9098994516808</v>
      </c>
      <c r="H27" s="321">
        <v>1067.092966379636</v>
      </c>
      <c r="I27" s="321">
        <v>948.85861935474622</v>
      </c>
      <c r="J27" s="321">
        <v>858.45512287812778</v>
      </c>
      <c r="K27" s="321">
        <v>827.02199493713636</v>
      </c>
      <c r="L27" s="321">
        <v>796.21126329282413</v>
      </c>
      <c r="M27" s="321">
        <v>772.13569061853775</v>
      </c>
      <c r="N27" s="321">
        <v>785.71369082942795</v>
      </c>
      <c r="O27" s="321">
        <v>808.62041157233557</v>
      </c>
      <c r="P27" s="321">
        <v>779.39318742018588</v>
      </c>
      <c r="Q27" s="79"/>
    </row>
    <row r="28" spans="1:17" ht="14.4" x14ac:dyDescent="0.3">
      <c r="A28" s="1"/>
      <c r="B28" s="53" t="s">
        <v>41</v>
      </c>
      <c r="C28" s="321">
        <v>928.58333445319602</v>
      </c>
      <c r="D28" s="321">
        <v>974.83647573941164</v>
      </c>
      <c r="E28" s="321">
        <v>519.87238398449529</v>
      </c>
      <c r="F28" s="321">
        <v>548.83096629896124</v>
      </c>
      <c r="G28" s="321">
        <v>597.29632766463499</v>
      </c>
      <c r="H28" s="321">
        <v>671.82467825881508</v>
      </c>
      <c r="I28" s="321">
        <v>838.13497386159224</v>
      </c>
      <c r="J28" s="321">
        <v>924.84192582846742</v>
      </c>
      <c r="K28" s="321">
        <v>855.5906588670365</v>
      </c>
      <c r="L28" s="321">
        <v>840.10585756692853</v>
      </c>
      <c r="M28" s="321">
        <v>857.64244328141751</v>
      </c>
      <c r="N28" s="321">
        <v>793.24883034321044</v>
      </c>
      <c r="O28" s="321">
        <v>624.99762735981108</v>
      </c>
      <c r="P28" s="321">
        <v>527.68304098890508</v>
      </c>
      <c r="Q28" s="79"/>
    </row>
    <row r="29" spans="1:17" ht="14.4" x14ac:dyDescent="0.3">
      <c r="A29" s="1"/>
      <c r="B29" s="81" t="s">
        <v>48</v>
      </c>
      <c r="C29" s="321">
        <v>1728.7117805273826</v>
      </c>
      <c r="D29" s="321">
        <v>1798.3704830144927</v>
      </c>
      <c r="E29" s="321">
        <v>1805.3576243220091</v>
      </c>
      <c r="F29" s="321">
        <v>1849.4234570025828</v>
      </c>
      <c r="G29" s="321">
        <v>1861.8936761570151</v>
      </c>
      <c r="H29" s="321">
        <v>1821.7123648610038</v>
      </c>
      <c r="I29" s="321">
        <v>1875.7243710000002</v>
      </c>
      <c r="J29" s="321">
        <v>1876.1012880490296</v>
      </c>
      <c r="K29" s="321">
        <v>1774.5168497142856</v>
      </c>
      <c r="L29" s="321">
        <v>1682.2035521309904</v>
      </c>
      <c r="M29" s="321">
        <v>1661.458196141479</v>
      </c>
      <c r="N29" s="321">
        <v>1607.1328436482088</v>
      </c>
      <c r="O29" s="321">
        <v>1462.688239154616</v>
      </c>
      <c r="P29" s="321">
        <v>1340.0591829545456</v>
      </c>
      <c r="Q29" s="79"/>
    </row>
    <row r="30" spans="1:17" ht="14.4" x14ac:dyDescent="0.3">
      <c r="A30" s="1"/>
      <c r="B30" s="30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79"/>
    </row>
    <row r="31" spans="1:17" ht="14.4" x14ac:dyDescent="0.3">
      <c r="A31" s="1"/>
      <c r="B31" s="30" t="s">
        <v>35</v>
      </c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79"/>
    </row>
    <row r="32" spans="1:17" ht="14.4" x14ac:dyDescent="0.3">
      <c r="A32" s="1"/>
      <c r="B32" s="30" t="s">
        <v>7</v>
      </c>
      <c r="C32" s="321">
        <v>4535.1705642949446</v>
      </c>
      <c r="D32" s="321">
        <v>4794.6445495868675</v>
      </c>
      <c r="E32" s="321">
        <v>4855.7094368277903</v>
      </c>
      <c r="F32" s="321">
        <v>4955.7951493166447</v>
      </c>
      <c r="G32" s="321">
        <v>4920.9970376047349</v>
      </c>
      <c r="H32" s="321">
        <v>5019.2933440081442</v>
      </c>
      <c r="I32" s="321">
        <v>5551.0898751709083</v>
      </c>
      <c r="J32" s="321">
        <v>5792.4383986101047</v>
      </c>
      <c r="K32" s="321">
        <v>6160.7681348248834</v>
      </c>
      <c r="L32" s="321">
        <v>5820.9145277947573</v>
      </c>
      <c r="M32" s="321">
        <v>5780.6739921976477</v>
      </c>
      <c r="N32" s="321">
        <v>6249.5444223370996</v>
      </c>
      <c r="O32" s="321">
        <v>5435.9669355669621</v>
      </c>
      <c r="P32" s="321">
        <v>5087.5250395956946</v>
      </c>
      <c r="Q32" s="79"/>
    </row>
    <row r="33" spans="1:19" ht="14.4" x14ac:dyDescent="0.3">
      <c r="A33" s="1"/>
      <c r="B33" s="30" t="s">
        <v>15</v>
      </c>
      <c r="C33" s="323">
        <v>0.28451307933803499</v>
      </c>
      <c r="D33" s="323">
        <v>0.29633808400000511</v>
      </c>
      <c r="E33" s="323">
        <v>0.30274426752658312</v>
      </c>
      <c r="F33" s="323">
        <v>0.30500313759093894</v>
      </c>
      <c r="G33" s="323">
        <v>0.31048294349069905</v>
      </c>
      <c r="H33" s="323">
        <v>0.32577961081608997</v>
      </c>
      <c r="I33" s="323">
        <v>0.40482791183954492</v>
      </c>
      <c r="J33" s="323">
        <v>0.40100288417317098</v>
      </c>
      <c r="K33" s="323">
        <v>0.40233559116427631</v>
      </c>
      <c r="L33" s="323">
        <v>0.41819907042443571</v>
      </c>
      <c r="M33" s="323">
        <v>0.43240665304949594</v>
      </c>
      <c r="N33" s="323">
        <v>0.48098416633809565</v>
      </c>
      <c r="O33" s="323">
        <v>0.50948007270121276</v>
      </c>
      <c r="P33" s="323">
        <v>0.48392249430341683</v>
      </c>
      <c r="Q33" s="79"/>
    </row>
    <row r="34" spans="1:19" ht="14.4" x14ac:dyDescent="0.3">
      <c r="A34" s="1"/>
      <c r="B34" s="30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79"/>
    </row>
    <row r="35" spans="1:19" ht="14.4" x14ac:dyDescent="0.3">
      <c r="A35" s="1"/>
      <c r="B35" s="30" t="s">
        <v>36</v>
      </c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79"/>
    </row>
    <row r="36" spans="1:19" ht="14.4" x14ac:dyDescent="0.3">
      <c r="A36" s="1"/>
      <c r="B36" s="30" t="s">
        <v>8</v>
      </c>
      <c r="C36" s="319">
        <v>10.005423064151913</v>
      </c>
      <c r="D36" s="319">
        <v>10.223968508591589</v>
      </c>
      <c r="E36" s="319">
        <v>9.9409284100065403</v>
      </c>
      <c r="F36" s="319">
        <v>9.8828450082661057</v>
      </c>
      <c r="G36" s="319">
        <v>9.948029612103177</v>
      </c>
      <c r="H36" s="319">
        <v>10.060124578979222</v>
      </c>
      <c r="I36" s="319">
        <v>9.9930226628311321</v>
      </c>
      <c r="J36" s="319">
        <v>9.8047169474417988</v>
      </c>
      <c r="K36" s="319">
        <v>9.761582697587162</v>
      </c>
      <c r="L36" s="319">
        <v>9.7054294366612535</v>
      </c>
      <c r="M36" s="319">
        <v>9.5730326371340979</v>
      </c>
      <c r="N36" s="319">
        <v>10.349321411836954</v>
      </c>
      <c r="O36" s="319">
        <v>10.882190863398053</v>
      </c>
      <c r="P36" s="319">
        <v>10.700877216708154</v>
      </c>
      <c r="Q36" s="79"/>
    </row>
    <row r="37" spans="1:19" ht="14.4" x14ac:dyDescent="0.3">
      <c r="A37" s="1"/>
      <c r="B37" s="30" t="s">
        <v>9</v>
      </c>
      <c r="C37" s="319">
        <v>1.7250729420951574</v>
      </c>
      <c r="D37" s="319">
        <v>1.8933275015910351</v>
      </c>
      <c r="E37" s="319">
        <v>1.6568214016677567</v>
      </c>
      <c r="F37" s="319">
        <v>1.6471408347110175</v>
      </c>
      <c r="G37" s="319">
        <v>1.6580049353505297</v>
      </c>
      <c r="H37" s="319">
        <v>1.6766874298298704</v>
      </c>
      <c r="I37" s="319">
        <v>1.6655037771385222</v>
      </c>
      <c r="J37" s="319">
        <v>1.6341194912402996</v>
      </c>
      <c r="K37" s="319">
        <v>1.6269304495978603</v>
      </c>
      <c r="L37" s="319">
        <v>1.6175715727768756</v>
      </c>
      <c r="M37" s="319">
        <v>1.5955054395223496</v>
      </c>
      <c r="N37" s="319">
        <v>1.7248869019728257</v>
      </c>
      <c r="O37" s="319">
        <v>1.8136984772330089</v>
      </c>
      <c r="P37" s="319">
        <v>1.7834795361180256</v>
      </c>
      <c r="Q37" s="79"/>
    </row>
    <row r="38" spans="1:19" ht="14.4" x14ac:dyDescent="0.3">
      <c r="A38" s="1"/>
      <c r="B38" s="30" t="s">
        <v>16</v>
      </c>
      <c r="C38" s="319">
        <v>0.11952173464878946</v>
      </c>
      <c r="D38" s="319">
        <v>0.12525672337066204</v>
      </c>
      <c r="E38" s="319">
        <v>0.1990954286539677</v>
      </c>
      <c r="F38" s="319">
        <v>0.19855346438361277</v>
      </c>
      <c r="G38" s="319">
        <v>0.19509012456092231</v>
      </c>
      <c r="H38" s="319">
        <v>0.19082986864299478</v>
      </c>
      <c r="I38" s="319">
        <v>0.20478725949460699</v>
      </c>
      <c r="J38" s="319">
        <v>0.18348848348446248</v>
      </c>
      <c r="K38" s="319">
        <v>0.18751041067458238</v>
      </c>
      <c r="L38" s="319">
        <v>0.19793966654553616</v>
      </c>
      <c r="M38" s="319">
        <v>0.20095396348569472</v>
      </c>
      <c r="N38" s="319">
        <v>0.23514910174204867</v>
      </c>
      <c r="O38" s="319">
        <v>0.28165672974417721</v>
      </c>
      <c r="P38" s="319">
        <v>0.28145465521000063</v>
      </c>
      <c r="Q38" s="79"/>
    </row>
    <row r="39" spans="1:19" ht="14.4" x14ac:dyDescent="0.3">
      <c r="A39" s="1"/>
      <c r="B39" s="30" t="s">
        <v>10</v>
      </c>
      <c r="C39" s="319">
        <v>23.81720558546537</v>
      </c>
      <c r="D39" s="319">
        <v>24.188332228256723</v>
      </c>
      <c r="E39" s="319">
        <v>15.11616369280036</v>
      </c>
      <c r="F39" s="319">
        <v>15.181295099552495</v>
      </c>
      <c r="G39" s="319">
        <v>15.832136674523992</v>
      </c>
      <c r="H39" s="319">
        <v>17.174373662817807</v>
      </c>
      <c r="I39" s="319">
        <v>19.754424701726681</v>
      </c>
      <c r="J39" s="319">
        <v>21.427610604011896</v>
      </c>
      <c r="K39" s="319">
        <v>20.945141825477734</v>
      </c>
      <c r="L39" s="319">
        <v>20.505246064704071</v>
      </c>
      <c r="M39" s="319">
        <v>20.598961724143447</v>
      </c>
      <c r="N39" s="319">
        <v>21.168950655392933</v>
      </c>
      <c r="O39" s="319">
        <v>19.684455604054786</v>
      </c>
      <c r="P39" s="319">
        <v>18.398683759841454</v>
      </c>
      <c r="Q39" s="79"/>
    </row>
    <row r="40" spans="1:19" ht="14.4" x14ac:dyDescent="0.3">
      <c r="A40" s="1"/>
      <c r="B40" s="32" t="s">
        <v>11</v>
      </c>
      <c r="C40" s="324">
        <v>4.1064147561147193</v>
      </c>
      <c r="D40" s="324">
        <v>4.479320783010504</v>
      </c>
      <c r="E40" s="324">
        <v>2.5193606154667267</v>
      </c>
      <c r="F40" s="324">
        <v>2.5302158499254155</v>
      </c>
      <c r="G40" s="324">
        <v>2.6386894457539984</v>
      </c>
      <c r="H40" s="324">
        <v>2.8623956104696351</v>
      </c>
      <c r="I40" s="324">
        <v>3.2924041169544473</v>
      </c>
      <c r="J40" s="324">
        <v>3.5712684340019831</v>
      </c>
      <c r="K40" s="324">
        <v>3.4908569709129553</v>
      </c>
      <c r="L40" s="324">
        <v>3.4175410107840114</v>
      </c>
      <c r="M40" s="324">
        <v>3.4331602873572407</v>
      </c>
      <c r="N40" s="324">
        <v>3.5281584425654891</v>
      </c>
      <c r="O40" s="324">
        <v>3.2807426006757976</v>
      </c>
      <c r="P40" s="324">
        <v>3.0664472933069087</v>
      </c>
      <c r="Q40" s="79"/>
    </row>
    <row r="41" spans="1:19" ht="14.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9"/>
    </row>
    <row r="42" spans="1:19" ht="14.4" x14ac:dyDescent="0.3">
      <c r="A42" s="1"/>
      <c r="B42" s="268" t="s">
        <v>40</v>
      </c>
      <c r="C42" s="268"/>
      <c r="D42" s="268"/>
      <c r="E42" s="268"/>
      <c r="F42" s="268"/>
      <c r="G42" s="268"/>
      <c r="H42" s="17"/>
      <c r="I42" s="17"/>
      <c r="J42" s="17"/>
      <c r="K42" s="17"/>
      <c r="L42" s="17"/>
      <c r="M42" s="17"/>
      <c r="N42" s="17"/>
      <c r="O42" s="17"/>
      <c r="P42" s="79"/>
      <c r="Q42" s="13"/>
    </row>
    <row r="43" spans="1:19" x14ac:dyDescent="0.25">
      <c r="A43" s="1"/>
      <c r="B43" s="268" t="s">
        <v>37</v>
      </c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</row>
    <row r="44" spans="1:19" x14ac:dyDescent="0.25">
      <c r="A44" s="1"/>
      <c r="B44" s="268" t="s">
        <v>39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</row>
    <row r="45" spans="1:19" x14ac:dyDescent="0.25">
      <c r="A45" s="1"/>
      <c r="B45" s="268" t="s">
        <v>97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</row>
    <row r="46" spans="1:19" x14ac:dyDescent="0.25">
      <c r="A46" s="1"/>
      <c r="B46" s="268" t="s">
        <v>60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</row>
    <row r="47" spans="1:19" x14ac:dyDescent="0.25">
      <c r="B47" s="13"/>
      <c r="C47" s="13"/>
      <c r="D47" s="13"/>
      <c r="E47" s="13"/>
      <c r="F47" s="13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</row>
    <row r="48" spans="1:19" ht="14.4" x14ac:dyDescent="0.3">
      <c r="B48" s="13"/>
      <c r="E48" s="13"/>
      <c r="F48" s="13"/>
      <c r="G48" s="255"/>
      <c r="H48" s="13"/>
      <c r="I48" s="13"/>
      <c r="P48" s="79"/>
    </row>
    <row r="49" spans="16:16" ht="14.4" x14ac:dyDescent="0.3">
      <c r="P49" s="79"/>
    </row>
  </sheetData>
  <phoneticPr fontId="10" type="noConversion"/>
  <printOptions verticalCentered="1"/>
  <pageMargins left="0.42" right="0.51" top="0.4" bottom="0.77" header="0.41" footer="0.51181102362204722"/>
  <pageSetup paperSize="9" scale="86" orientation="landscape" horizontalDpi="4294967292" r:id="rId1"/>
  <headerFooter alignWithMargins="0">
    <oddHeader>&amp;A</oddHeader>
    <oddFooter>&amp;L&amp;BAS Oslo SporveierKonfidensielt&amp;B&amp;C&amp;D&amp;RSide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T46"/>
  <sheetViews>
    <sheetView zoomScaleNormal="100" workbookViewId="0">
      <selection activeCell="D3" sqref="D3"/>
    </sheetView>
  </sheetViews>
  <sheetFormatPr baseColWidth="10" defaultColWidth="9.109375" defaultRowHeight="13.2" x14ac:dyDescent="0.25"/>
  <cols>
    <col min="1" max="1" width="11.44140625" style="2" customWidth="1"/>
    <col min="2" max="2" width="45.88671875" style="2" customWidth="1"/>
    <col min="3" max="3" width="17.88671875" style="2" customWidth="1"/>
    <col min="4" max="4" width="16.6640625" style="2" customWidth="1"/>
    <col min="5" max="5" width="15.5546875" style="2" customWidth="1"/>
    <col min="6" max="6" width="16.109375" style="2" customWidth="1"/>
    <col min="7" max="7" width="13.6640625" style="2" customWidth="1"/>
    <col min="8" max="8" width="14.6640625" style="2" customWidth="1"/>
    <col min="9" max="9" width="15.6640625" style="2" customWidth="1"/>
    <col min="10" max="10" width="13.6640625" style="2" customWidth="1"/>
    <col min="11" max="11" width="14.6640625" style="2" customWidth="1"/>
    <col min="12" max="12" width="13.88671875" style="2" customWidth="1"/>
    <col min="13" max="13" width="13.5546875" style="2" customWidth="1"/>
    <col min="14" max="14" width="12" style="2" customWidth="1"/>
    <col min="15" max="15" width="11.88671875" style="2" customWidth="1"/>
    <col min="16" max="16" width="11.6640625" style="2" customWidth="1"/>
    <col min="17" max="16384" width="9.109375" style="2"/>
  </cols>
  <sheetData>
    <row r="1" spans="1:19" s="22" customFormat="1" ht="17.399999999999999" x14ac:dyDescent="0.3">
      <c r="B1" s="25"/>
      <c r="C1" s="25"/>
      <c r="D1" s="288"/>
      <c r="E1" s="25"/>
      <c r="F1" s="25"/>
      <c r="G1" s="25"/>
      <c r="H1" s="25"/>
      <c r="I1" s="25"/>
      <c r="J1" s="79"/>
      <c r="K1" s="79"/>
      <c r="L1" s="79"/>
      <c r="M1" s="79"/>
      <c r="N1" s="79"/>
      <c r="O1" s="79"/>
      <c r="P1" s="79"/>
    </row>
    <row r="2" spans="1:19" x14ac:dyDescent="0.25">
      <c r="B2" s="23"/>
      <c r="C2" s="23"/>
      <c r="Q2" s="8"/>
    </row>
    <row r="3" spans="1:19" x14ac:dyDescent="0.25">
      <c r="B3" s="23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Q3" s="8"/>
    </row>
    <row r="4" spans="1:19" x14ac:dyDescent="0.25">
      <c r="B4" s="19"/>
      <c r="C4" s="19"/>
      <c r="D4" s="19"/>
      <c r="E4" s="19"/>
      <c r="F4" s="19"/>
      <c r="G4" s="19"/>
      <c r="H4" s="19"/>
      <c r="I4" s="19"/>
      <c r="J4" s="20"/>
      <c r="K4" s="20"/>
      <c r="L4" s="20"/>
      <c r="M4" s="20"/>
      <c r="N4" s="20"/>
      <c r="O4" s="20"/>
    </row>
    <row r="5" spans="1:19" x14ac:dyDescent="0.25">
      <c r="A5" s="1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62"/>
      <c r="N5" s="62"/>
      <c r="O5" s="62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63"/>
      <c r="N6" s="1"/>
      <c r="O6" s="1"/>
    </row>
    <row r="7" spans="1:19" x14ac:dyDescent="0.25">
      <c r="A7" s="1"/>
      <c r="B7" s="1"/>
      <c r="C7" s="5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x14ac:dyDescent="0.25">
      <c r="A8" s="1"/>
      <c r="B8" s="4" t="s">
        <v>22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9" x14ac:dyDescent="0.25">
      <c r="A9" s="1"/>
      <c r="B9" s="1"/>
      <c r="C9" s="28" t="s">
        <v>99</v>
      </c>
      <c r="D9" s="28">
        <v>2020</v>
      </c>
      <c r="E9" s="28">
        <v>2019</v>
      </c>
      <c r="F9" s="28">
        <v>2018</v>
      </c>
      <c r="G9" s="28">
        <v>2017</v>
      </c>
      <c r="H9" s="28">
        <v>2016</v>
      </c>
      <c r="I9" s="28">
        <v>2015</v>
      </c>
      <c r="J9" s="28">
        <v>2014</v>
      </c>
      <c r="K9" s="28">
        <v>2013</v>
      </c>
      <c r="L9" s="28">
        <v>2012</v>
      </c>
      <c r="M9" s="28">
        <v>2011</v>
      </c>
      <c r="N9" s="28">
        <v>2010</v>
      </c>
      <c r="O9" s="28">
        <v>2009</v>
      </c>
      <c r="P9" s="28">
        <v>2008</v>
      </c>
    </row>
    <row r="10" spans="1:19" x14ac:dyDescent="0.25">
      <c r="A10" s="1"/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9" x14ac:dyDescent="0.25">
      <c r="A11" s="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9" x14ac:dyDescent="0.25">
      <c r="A12" s="1"/>
      <c r="B12" s="30" t="s">
        <v>12</v>
      </c>
      <c r="C12" s="33">
        <v>27.670768794089945</v>
      </c>
      <c r="D12" s="33">
        <v>22.222928882652699</v>
      </c>
      <c r="E12" s="33">
        <v>52.727814537044928</v>
      </c>
      <c r="F12" s="33">
        <v>51.441770280043833</v>
      </c>
      <c r="G12" s="33">
        <v>51.434317007314519</v>
      </c>
      <c r="H12" s="33">
        <v>53.016185075605961</v>
      </c>
      <c r="I12" s="55">
        <v>54.473486818715735</v>
      </c>
      <c r="J12" s="47">
        <v>50.973688832400413</v>
      </c>
      <c r="K12" s="33">
        <v>49.302543971101741</v>
      </c>
      <c r="L12" s="46">
        <v>47.754989957886316</v>
      </c>
      <c r="M12" s="46">
        <v>47.902673901524714</v>
      </c>
      <c r="N12" s="46">
        <v>45.204660892269459</v>
      </c>
      <c r="O12" s="46">
        <v>42.798700540116918</v>
      </c>
      <c r="P12" s="33">
        <v>39.737085473712803</v>
      </c>
    </row>
    <row r="13" spans="1:19" x14ac:dyDescent="0.25">
      <c r="A13" s="1"/>
      <c r="B13" s="30" t="s">
        <v>33</v>
      </c>
      <c r="C13" s="55">
        <v>66.409845105815862</v>
      </c>
      <c r="D13" s="55">
        <f>D12*2.3</f>
        <v>51.112736430101201</v>
      </c>
      <c r="E13" s="55">
        <f t="shared" ref="E13:I13" si="0">E12*3.2</f>
        <v>168.72900651854377</v>
      </c>
      <c r="F13" s="55">
        <f t="shared" si="0"/>
        <v>164.61366489614028</v>
      </c>
      <c r="G13" s="55">
        <f t="shared" si="0"/>
        <v>164.58981442340647</v>
      </c>
      <c r="H13" s="55">
        <f t="shared" si="0"/>
        <v>169.65179224193909</v>
      </c>
      <c r="I13" s="55">
        <f t="shared" si="0"/>
        <v>174.31515781989037</v>
      </c>
      <c r="J13" s="59">
        <f>J12*3.2</f>
        <v>163.11580426368133</v>
      </c>
      <c r="K13" s="38">
        <f t="shared" ref="K13:P13" si="1">K12*3.2</f>
        <v>157.76814070752559</v>
      </c>
      <c r="L13" s="38">
        <f t="shared" si="1"/>
        <v>152.81596786523622</v>
      </c>
      <c r="M13" s="46">
        <f t="shared" si="1"/>
        <v>153.28855648487908</v>
      </c>
      <c r="N13" s="46">
        <f t="shared" si="1"/>
        <v>144.65491485526226</v>
      </c>
      <c r="O13" s="46">
        <f t="shared" si="1"/>
        <v>136.95584172837414</v>
      </c>
      <c r="P13" s="33">
        <f t="shared" si="1"/>
        <v>127.15867351588098</v>
      </c>
    </row>
    <row r="14" spans="1:19" x14ac:dyDescent="0.25">
      <c r="A14" s="1"/>
      <c r="B14" s="86" t="s">
        <v>17</v>
      </c>
      <c r="C14" s="60">
        <v>4.7177689999999997</v>
      </c>
      <c r="D14" s="60">
        <v>4.5057619999999998</v>
      </c>
      <c r="E14" s="60">
        <v>4.6135450000000002</v>
      </c>
      <c r="F14" s="60">
        <v>4.6792680000000004</v>
      </c>
      <c r="G14" s="60">
        <v>4.4392909999999999</v>
      </c>
      <c r="H14" s="60">
        <v>4.3120969999999996</v>
      </c>
      <c r="I14" s="48">
        <f>4.185461358</f>
        <v>4.1854613580000004</v>
      </c>
      <c r="J14" s="48">
        <v>3.9732590000000001</v>
      </c>
      <c r="K14" s="34">
        <v>3.9460069999999998</v>
      </c>
      <c r="L14" s="34">
        <v>4.062929488</v>
      </c>
      <c r="M14" s="34">
        <v>3.9861731589999998</v>
      </c>
      <c r="N14" s="34">
        <v>3.9645106779999999</v>
      </c>
      <c r="O14" s="45">
        <v>3.8560539239999998</v>
      </c>
      <c r="P14" s="34">
        <v>3.9943139969999999</v>
      </c>
      <c r="S14" s="78"/>
    </row>
    <row r="15" spans="1:19" x14ac:dyDescent="0.25">
      <c r="A15" s="1"/>
      <c r="B15" s="30" t="s">
        <v>24</v>
      </c>
      <c r="C15" s="33">
        <v>694.96565399999997</v>
      </c>
      <c r="D15" s="33">
        <v>667.65931399999999</v>
      </c>
      <c r="E15" s="33">
        <v>683.26363500000002</v>
      </c>
      <c r="F15" s="33">
        <v>686.30007999999998</v>
      </c>
      <c r="G15" s="33">
        <v>651.47485600000005</v>
      </c>
      <c r="H15" s="33">
        <v>635.33844099999999</v>
      </c>
      <c r="I15" s="55">
        <f>614377206/1000000</f>
        <v>614.377206</v>
      </c>
      <c r="J15" s="47">
        <v>599.73774700000001</v>
      </c>
      <c r="K15" s="55">
        <v>572.15442800000005</v>
      </c>
      <c r="L15" s="59">
        <v>592.96579634759905</v>
      </c>
      <c r="M15" s="59">
        <v>570.50774336002496</v>
      </c>
      <c r="N15" s="38">
        <v>577.02670474784998</v>
      </c>
      <c r="O15" s="47">
        <v>568.25041173427201</v>
      </c>
      <c r="P15" s="33">
        <v>585.17025745993601</v>
      </c>
      <c r="Q15" s="78"/>
    </row>
    <row r="16" spans="1:19" x14ac:dyDescent="0.25">
      <c r="A16" s="1"/>
      <c r="B16" s="30" t="s">
        <v>1</v>
      </c>
      <c r="C16" s="128">
        <f>C13/C15</f>
        <v>9.555845634037026E-2</v>
      </c>
      <c r="D16" s="128">
        <f t="shared" ref="D16:I16" si="2">D13/D15</f>
        <v>7.6555116297083822E-2</v>
      </c>
      <c r="E16" s="128">
        <f t="shared" si="2"/>
        <v>0.24694568520179441</v>
      </c>
      <c r="F16" s="181">
        <f t="shared" si="2"/>
        <v>0.23985668906834498</v>
      </c>
      <c r="G16" s="128">
        <f t="shared" si="2"/>
        <v>0.25264185241771858</v>
      </c>
      <c r="H16" s="128">
        <f t="shared" si="2"/>
        <v>0.26702585786390204</v>
      </c>
      <c r="I16" s="230">
        <f t="shared" si="2"/>
        <v>0.28372660332696387</v>
      </c>
      <c r="J16" s="229">
        <f>J13/J15</f>
        <v>0.27197855242498403</v>
      </c>
      <c r="K16" s="223">
        <f t="shared" ref="K16:P16" si="3">K13/K15</f>
        <v>0.27574398271986383</v>
      </c>
      <c r="L16" s="83">
        <f t="shared" si="3"/>
        <v>0.25771464190095522</v>
      </c>
      <c r="M16" s="83">
        <f t="shared" si="3"/>
        <v>0.26868795081041469</v>
      </c>
      <c r="N16" s="83">
        <f t="shared" si="3"/>
        <v>0.25069015639141656</v>
      </c>
      <c r="O16" s="83">
        <f t="shared" si="3"/>
        <v>0.2410131852089499</v>
      </c>
      <c r="P16" s="83">
        <f t="shared" si="3"/>
        <v>0.2173020106453154</v>
      </c>
    </row>
    <row r="17" spans="1:20" x14ac:dyDescent="0.25">
      <c r="A17" s="1"/>
      <c r="B17" s="30" t="s">
        <v>18</v>
      </c>
      <c r="C17" s="33">
        <v>425.01499999999999</v>
      </c>
      <c r="D17" s="33">
        <v>428.51499999999999</v>
      </c>
      <c r="E17" s="33">
        <v>464.19804960000005</v>
      </c>
      <c r="F17" s="33">
        <v>462.36733130000005</v>
      </c>
      <c r="G17" s="33">
        <v>464.49099999999999</v>
      </c>
      <c r="H17" s="33">
        <v>391.87599999999998</v>
      </c>
      <c r="I17" s="55">
        <f>379270.7834/1000</f>
        <v>379.27078340000003</v>
      </c>
      <c r="J17" s="47">
        <v>373.404</v>
      </c>
      <c r="K17" s="46">
        <v>360.38799999999998</v>
      </c>
      <c r="L17" s="66">
        <v>363.12299999999999</v>
      </c>
      <c r="M17" s="66">
        <v>359.97</v>
      </c>
      <c r="N17" s="33">
        <v>365.60199999999998</v>
      </c>
      <c r="O17" s="46">
        <v>366.82799999999997</v>
      </c>
      <c r="P17" s="33">
        <v>355.16199999999998</v>
      </c>
    </row>
    <row r="18" spans="1:20" x14ac:dyDescent="0.25">
      <c r="A18" s="1"/>
      <c r="B18" s="86" t="s">
        <v>101</v>
      </c>
      <c r="C18" s="59">
        <v>255.16399999999999</v>
      </c>
      <c r="D18" s="59">
        <v>242.61600000000001</v>
      </c>
      <c r="E18" s="59">
        <v>257.72300000000001</v>
      </c>
      <c r="F18" s="59">
        <v>252.25299999999999</v>
      </c>
      <c r="G18" s="59">
        <v>235.52500000000001</v>
      </c>
      <c r="H18" s="59">
        <v>234</v>
      </c>
      <c r="I18" s="55">
        <f>228827/1000</f>
        <v>228.827</v>
      </c>
      <c r="J18" s="59">
        <v>216.34800000000001</v>
      </c>
      <c r="K18" s="80">
        <v>289.47870999999998</v>
      </c>
      <c r="L18" s="33">
        <v>304.03420999999997</v>
      </c>
      <c r="M18" s="33">
        <v>294.01</v>
      </c>
      <c r="N18" s="33">
        <v>293.67700000000002</v>
      </c>
      <c r="O18" s="46">
        <v>284.55500000000001</v>
      </c>
      <c r="P18" s="33">
        <v>286.71238</v>
      </c>
    </row>
    <row r="19" spans="1:20" x14ac:dyDescent="0.25">
      <c r="A19" s="1"/>
      <c r="B19" s="30" t="s">
        <v>5</v>
      </c>
      <c r="C19" s="34">
        <v>18.489163831888508</v>
      </c>
      <c r="D19" s="34">
        <v>18.571578131697823</v>
      </c>
      <c r="E19" s="34">
        <v>17.90117684490713</v>
      </c>
      <c r="F19" s="34">
        <v>18.549900298509829</v>
      </c>
      <c r="G19" s="34">
        <v>18.848491667551215</v>
      </c>
      <c r="H19" s="34">
        <v>18.427764957264959</v>
      </c>
      <c r="I19" s="81">
        <v>18.3</v>
      </c>
      <c r="J19" s="224">
        <v>19</v>
      </c>
      <c r="K19" s="35">
        <f>L19</f>
        <v>19.02</v>
      </c>
      <c r="L19" s="60">
        <v>19.02</v>
      </c>
      <c r="M19" s="45">
        <v>19.02</v>
      </c>
      <c r="N19" s="53">
        <v>18.3</v>
      </c>
      <c r="O19" s="48">
        <v>17.8</v>
      </c>
      <c r="P19" s="34">
        <v>18</v>
      </c>
    </row>
    <row r="20" spans="1:20" x14ac:dyDescent="0.25">
      <c r="A20" s="1"/>
      <c r="B20" s="86" t="s">
        <v>34</v>
      </c>
      <c r="C20" s="59">
        <f>D20</f>
        <v>39.774000000000001</v>
      </c>
      <c r="D20" s="59">
        <f>E20</f>
        <v>39.774000000000001</v>
      </c>
      <c r="E20" s="33">
        <v>39.774000000000001</v>
      </c>
      <c r="F20" s="33">
        <v>39.774000000000001</v>
      </c>
      <c r="G20" s="33">
        <v>40.973999999999997</v>
      </c>
      <c r="H20" s="33">
        <f>I20</f>
        <v>42.573999999999998</v>
      </c>
      <c r="I20" s="55">
        <v>42.573999999999998</v>
      </c>
      <c r="J20" s="47">
        <f>L20</f>
        <v>40.5</v>
      </c>
      <c r="K20" s="46">
        <f>L20-0.876</f>
        <v>39.624000000000002</v>
      </c>
      <c r="L20" s="55">
        <f>M20</f>
        <v>40.5</v>
      </c>
      <c r="M20" s="38">
        <v>40.5</v>
      </c>
      <c r="N20" s="46">
        <v>40.5</v>
      </c>
      <c r="O20" s="55">
        <v>39</v>
      </c>
      <c r="P20" s="38">
        <f>42-1.465</f>
        <v>40.534999999999997</v>
      </c>
    </row>
    <row r="21" spans="1:20" x14ac:dyDescent="0.25">
      <c r="A21" s="1"/>
      <c r="B21" s="30"/>
      <c r="C21" s="30"/>
      <c r="D21" s="30"/>
      <c r="E21" s="30"/>
      <c r="F21" s="30"/>
      <c r="G21" s="30"/>
      <c r="H21" s="30"/>
      <c r="I21" s="53"/>
      <c r="J21" s="30"/>
      <c r="K21" s="30"/>
      <c r="L21" s="53"/>
      <c r="M21" s="53"/>
      <c r="N21" s="30"/>
      <c r="O21" s="30"/>
      <c r="P21" s="30"/>
    </row>
    <row r="22" spans="1:20" x14ac:dyDescent="0.25">
      <c r="A22" s="1"/>
      <c r="B22" s="30" t="s">
        <v>6</v>
      </c>
      <c r="C22" s="225">
        <v>0.32808388523243082</v>
      </c>
      <c r="D22" s="225">
        <v>0.44607277153278518</v>
      </c>
      <c r="E22" s="225">
        <v>0.14483704544083767</v>
      </c>
      <c r="F22" s="293">
        <v>0.13600000000000001</v>
      </c>
      <c r="G22" s="246">
        <v>0.12236882381465276</v>
      </c>
      <c r="H22" s="225">
        <v>0.11881041006768688</v>
      </c>
      <c r="I22" s="246">
        <v>0.12710374848755265</v>
      </c>
      <c r="J22" s="225">
        <v>0.11799999999999999</v>
      </c>
      <c r="K22" s="85">
        <v>0.12359957411268262</v>
      </c>
      <c r="L22" s="71">
        <v>0.14592715873556941</v>
      </c>
      <c r="M22" s="54">
        <v>0.14299828051523381</v>
      </c>
      <c r="N22" s="54">
        <v>0.16148999999999999</v>
      </c>
      <c r="O22" s="54">
        <v>0.18837999999999999</v>
      </c>
      <c r="P22" s="53">
        <v>0.22</v>
      </c>
    </row>
    <row r="23" spans="1:20" x14ac:dyDescent="0.25">
      <c r="A23" s="1"/>
      <c r="B23" s="30"/>
      <c r="C23" s="30"/>
      <c r="D23" s="30"/>
      <c r="E23" s="30"/>
      <c r="F23" s="30"/>
      <c r="G23" s="30"/>
      <c r="H23" s="30"/>
      <c r="I23" s="53"/>
      <c r="J23" s="30"/>
      <c r="K23" s="30"/>
      <c r="L23" s="53"/>
      <c r="M23" s="53"/>
      <c r="N23" s="30"/>
      <c r="O23" s="30"/>
      <c r="P23" s="30"/>
    </row>
    <row r="24" spans="1:20" x14ac:dyDescent="0.25">
      <c r="A24" s="1"/>
      <c r="B24" s="31" t="s">
        <v>2</v>
      </c>
      <c r="C24" s="31"/>
      <c r="D24" s="31"/>
      <c r="E24" s="31"/>
      <c r="F24" s="31"/>
      <c r="G24" s="31"/>
      <c r="H24" s="31"/>
      <c r="I24" s="56"/>
      <c r="J24" s="31"/>
      <c r="K24" s="31"/>
      <c r="L24" s="56"/>
      <c r="M24" s="56"/>
      <c r="N24" s="31"/>
      <c r="O24" s="31"/>
      <c r="P24" s="31"/>
    </row>
    <row r="25" spans="1:20" x14ac:dyDescent="0.25">
      <c r="A25" s="1"/>
      <c r="B25" s="30"/>
      <c r="C25" s="30"/>
      <c r="D25" s="30"/>
      <c r="E25" s="30"/>
      <c r="F25" s="30"/>
      <c r="G25" s="30"/>
      <c r="H25" s="30"/>
      <c r="I25" s="53"/>
      <c r="J25" s="30"/>
      <c r="K25" s="30"/>
      <c r="L25" s="53"/>
      <c r="M25" s="53"/>
      <c r="N25" s="30"/>
      <c r="O25" s="30"/>
      <c r="P25" s="30"/>
    </row>
    <row r="26" spans="1:20" x14ac:dyDescent="0.25">
      <c r="A26" s="1"/>
      <c r="B26" s="30" t="s">
        <v>25</v>
      </c>
      <c r="C26" s="321">
        <v>268.87404548249305</v>
      </c>
      <c r="D26" s="321">
        <v>225.61829892949308</v>
      </c>
      <c r="E26" s="321">
        <v>526.74370121529728</v>
      </c>
      <c r="F26" s="321">
        <v>506.16332797501133</v>
      </c>
      <c r="G26" s="321">
        <v>510.82998677333853</v>
      </c>
      <c r="H26" s="321">
        <v>538.54378559250154</v>
      </c>
      <c r="I26" s="321">
        <v>541.82861099471938</v>
      </c>
      <c r="J26" s="321">
        <v>496.05061820811704</v>
      </c>
      <c r="K26" s="321">
        <v>479.64667742963303</v>
      </c>
      <c r="L26" s="321">
        <v>460.79265418618536</v>
      </c>
      <c r="M26" s="321">
        <v>435.17243670292152</v>
      </c>
      <c r="N26" s="321">
        <v>446.83644356701257</v>
      </c>
      <c r="O26" s="321">
        <v>436.28416594931423</v>
      </c>
      <c r="P26" s="321">
        <v>448.79403870389064</v>
      </c>
      <c r="T26" s="26"/>
    </row>
    <row r="27" spans="1:20" x14ac:dyDescent="0.25">
      <c r="A27" s="1"/>
      <c r="B27" s="30" t="s">
        <v>41</v>
      </c>
      <c r="C27" s="321">
        <v>778.77699236169042</v>
      </c>
      <c r="D27" s="321">
        <v>801.77721899423727</v>
      </c>
      <c r="E27" s="321">
        <v>458.92219337407585</v>
      </c>
      <c r="F27" s="321">
        <v>465.98227950126028</v>
      </c>
      <c r="G27" s="321">
        <v>440.83229345685243</v>
      </c>
      <c r="H27" s="321">
        <v>389.10517585465374</v>
      </c>
      <c r="I27" s="321">
        <v>366.33002128308993</v>
      </c>
      <c r="J27" s="321">
        <v>407.29344061189693</v>
      </c>
      <c r="K27" s="321">
        <v>435.76479285866884</v>
      </c>
      <c r="L27" s="321">
        <v>433.6810159781636</v>
      </c>
      <c r="M27" s="321">
        <v>456.08224989635193</v>
      </c>
      <c r="N27" s="321">
        <v>386.24597662842723</v>
      </c>
      <c r="O27" s="321">
        <v>398.83256152565787</v>
      </c>
      <c r="P27" s="321">
        <v>417.83573061429115</v>
      </c>
    </row>
    <row r="28" spans="1:20" x14ac:dyDescent="0.25">
      <c r="A28" s="1"/>
      <c r="B28" s="57" t="s">
        <v>55</v>
      </c>
      <c r="C28" s="321">
        <v>1052.2873788441834</v>
      </c>
      <c r="D28" s="321">
        <v>1029.6240136191932</v>
      </c>
      <c r="E28" s="321">
        <v>991.0273122253459</v>
      </c>
      <c r="F28" s="321">
        <v>976.58734928247225</v>
      </c>
      <c r="G28" s="321">
        <v>957.8790201634921</v>
      </c>
      <c r="H28" s="321">
        <v>934.87739682335905</v>
      </c>
      <c r="I28" s="321">
        <v>916.96128299999998</v>
      </c>
      <c r="J28" s="321">
        <v>913.39985086823299</v>
      </c>
      <c r="K28" s="321">
        <v>925.63663213764346</v>
      </c>
      <c r="L28" s="321">
        <v>901.1778836549521</v>
      </c>
      <c r="M28" s="321">
        <v>898.89398392282953</v>
      </c>
      <c r="N28" s="321">
        <v>840.59425407166134</v>
      </c>
      <c r="O28" s="321">
        <v>842.23640823136816</v>
      </c>
      <c r="P28" s="321">
        <v>873.09442840909094</v>
      </c>
    </row>
    <row r="29" spans="1:20" x14ac:dyDescent="0.25">
      <c r="A29" s="1"/>
      <c r="B29" s="30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</row>
    <row r="30" spans="1:20" x14ac:dyDescent="0.25">
      <c r="A30" s="1"/>
      <c r="B30" s="30" t="s">
        <v>35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</row>
    <row r="31" spans="1:20" x14ac:dyDescent="0.25">
      <c r="A31" s="1"/>
      <c r="B31" s="30" t="s">
        <v>7</v>
      </c>
      <c r="C31" s="336">
        <v>2475.8829190597589</v>
      </c>
      <c r="D31" s="336">
        <v>2402.7723968103642</v>
      </c>
      <c r="E31" s="336">
        <v>2134.9234730290555</v>
      </c>
      <c r="F31" s="336">
        <v>2112.1460863955986</v>
      </c>
      <c r="G31" s="336">
        <v>2062.2122283607046</v>
      </c>
      <c r="H31" s="336">
        <v>2385.6459615372187</v>
      </c>
      <c r="I31" s="336">
        <v>2417.6955440116822</v>
      </c>
      <c r="J31" s="336">
        <v>2446.1437233351357</v>
      </c>
      <c r="K31" s="336">
        <v>2568.4446544769621</v>
      </c>
      <c r="L31" s="336">
        <v>2481.742780421378</v>
      </c>
      <c r="M31" s="336">
        <v>2497.1358277712848</v>
      </c>
      <c r="N31" s="336">
        <v>2299.2058415207289</v>
      </c>
      <c r="O31" s="336">
        <v>2295.9981469009135</v>
      </c>
      <c r="P31" s="336">
        <v>2458.2991097276481</v>
      </c>
    </row>
    <row r="32" spans="1:20" x14ac:dyDescent="0.25">
      <c r="A32" s="1"/>
      <c r="B32" s="30" t="s">
        <v>15</v>
      </c>
      <c r="C32" s="337">
        <v>1.5141573871853291</v>
      </c>
      <c r="D32" s="337">
        <v>1.5421398189604125</v>
      </c>
      <c r="E32" s="337">
        <v>1.4504318120564779</v>
      </c>
      <c r="F32" s="337">
        <v>1.4229742611751879</v>
      </c>
      <c r="G32" s="337">
        <v>1.4703238526269262</v>
      </c>
      <c r="H32" s="337">
        <v>1.4714636113500317</v>
      </c>
      <c r="I32" s="337">
        <v>1.4925053762492615</v>
      </c>
      <c r="J32" s="234">
        <v>1.5229987697743377</v>
      </c>
      <c r="K32" s="234">
        <v>1.6178090858673619</v>
      </c>
      <c r="L32" s="337">
        <v>1.5197805492421317</v>
      </c>
      <c r="M32" s="337">
        <v>1.5756034767008815</v>
      </c>
      <c r="N32" s="337">
        <v>1.4567683733788119</v>
      </c>
      <c r="O32" s="337">
        <v>1.482157145581126</v>
      </c>
      <c r="P32" s="337">
        <v>1.492034868960967</v>
      </c>
    </row>
    <row r="33" spans="1:16" x14ac:dyDescent="0.25">
      <c r="A33" s="1"/>
      <c r="B33" s="30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</row>
    <row r="34" spans="1:16" x14ac:dyDescent="0.25">
      <c r="A34" s="1"/>
      <c r="B34" s="30" t="s">
        <v>36</v>
      </c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</row>
    <row r="35" spans="1:16" x14ac:dyDescent="0.25">
      <c r="A35" s="1"/>
      <c r="B35" s="30" t="s">
        <v>8</v>
      </c>
      <c r="C35" s="323">
        <v>9.7168982720827213</v>
      </c>
      <c r="D35" s="323">
        <v>10.152500605157027</v>
      </c>
      <c r="E35" s="323">
        <v>9.9898640943144628</v>
      </c>
      <c r="F35" s="323">
        <v>9.8395394485747474</v>
      </c>
      <c r="G35" s="323">
        <v>9.9316957334281888</v>
      </c>
      <c r="H35" s="323">
        <v>10.15810143307159</v>
      </c>
      <c r="I35" s="323">
        <v>9.9466482253631057</v>
      </c>
      <c r="J35" s="323">
        <v>9.7315032435481168</v>
      </c>
      <c r="K35" s="323">
        <v>9.7286395142362991</v>
      </c>
      <c r="L35" s="323">
        <v>9.6490995934151478</v>
      </c>
      <c r="M35" s="323">
        <v>9.0845124344733126</v>
      </c>
      <c r="N35" s="323">
        <v>9.8847427399555379</v>
      </c>
      <c r="O35" s="323">
        <v>10.193864777281446</v>
      </c>
      <c r="P35" s="323">
        <v>11.294085445717464</v>
      </c>
    </row>
    <row r="36" spans="1:16" x14ac:dyDescent="0.25">
      <c r="A36" s="1"/>
      <c r="B36" s="30" t="s">
        <v>9</v>
      </c>
      <c r="C36" s="323">
        <v>4.0487076133678004</v>
      </c>
      <c r="D36" s="323">
        <v>4.4141306978943593</v>
      </c>
      <c r="E36" s="323">
        <v>3.1218325294732696</v>
      </c>
      <c r="F36" s="323">
        <v>3.0748560776796081</v>
      </c>
      <c r="G36" s="323">
        <v>3.1036549166963088</v>
      </c>
      <c r="H36" s="323">
        <v>3.1744066978348715</v>
      </c>
      <c r="I36" s="323">
        <v>3.1083275704259701</v>
      </c>
      <c r="J36" s="323">
        <v>3.0410947636087866</v>
      </c>
      <c r="K36" s="323">
        <v>3.040199848198843</v>
      </c>
      <c r="L36" s="323">
        <v>3.0153436229422339</v>
      </c>
      <c r="M36" s="323">
        <v>2.8389101357729105</v>
      </c>
      <c r="N36" s="323">
        <v>3.0889821062361058</v>
      </c>
      <c r="O36" s="323">
        <v>3.1855827429004515</v>
      </c>
      <c r="P36" s="323">
        <v>3.5294017017867074</v>
      </c>
    </row>
    <row r="37" spans="1:16" x14ac:dyDescent="0.25">
      <c r="A37" s="1"/>
      <c r="B37" s="30" t="s">
        <v>16</v>
      </c>
      <c r="C37" s="323">
        <v>0.38688824970693164</v>
      </c>
      <c r="D37" s="323">
        <v>0.33792428892783044</v>
      </c>
      <c r="E37" s="323">
        <v>0.77092307307602759</v>
      </c>
      <c r="F37" s="323">
        <v>0.73752479815390859</v>
      </c>
      <c r="G37" s="323">
        <v>0.78411312741951544</v>
      </c>
      <c r="H37" s="323">
        <v>0.84764867169827296</v>
      </c>
      <c r="I37" s="323">
        <v>0.88191522358451457</v>
      </c>
      <c r="J37" s="338">
        <v>0.82711255159351682</v>
      </c>
      <c r="K37" s="338">
        <v>0.83831681440667449</v>
      </c>
      <c r="L37" s="323">
        <v>0.77709820199488666</v>
      </c>
      <c r="M37" s="323">
        <v>0.7627809469157395</v>
      </c>
      <c r="N37" s="323">
        <v>0.77437740730261673</v>
      </c>
      <c r="O37" s="323">
        <v>0.76776744361310123</v>
      </c>
      <c r="P37" s="323">
        <v>0.76694608617324944</v>
      </c>
    </row>
    <row r="38" spans="1:16" x14ac:dyDescent="0.25">
      <c r="A38" s="1"/>
      <c r="B38" s="30" t="s">
        <v>10</v>
      </c>
      <c r="C38" s="323">
        <v>38.028845048531359</v>
      </c>
      <c r="D38" s="323">
        <v>46.331607280754135</v>
      </c>
      <c r="E38" s="323">
        <v>18.795152443291212</v>
      </c>
      <c r="F38" s="323">
        <v>18.984326238502849</v>
      </c>
      <c r="G38" s="323">
        <v>18.623344799684446</v>
      </c>
      <c r="H38" s="323">
        <v>17.63381117464672</v>
      </c>
      <c r="I38" s="323">
        <v>16.833166675222905</v>
      </c>
      <c r="J38" s="323">
        <v>17.919045527025865</v>
      </c>
      <c r="K38" s="323">
        <v>18.774622110376239</v>
      </c>
      <c r="L38" s="323">
        <v>18.870863221826109</v>
      </c>
      <c r="M38" s="323">
        <v>18.765006433058808</v>
      </c>
      <c r="N38" s="323">
        <v>18.595300517239654</v>
      </c>
      <c r="O38" s="323">
        <v>19.679018231918199</v>
      </c>
      <c r="P38" s="323">
        <v>21.971778201666737</v>
      </c>
    </row>
    <row r="39" spans="1:16" x14ac:dyDescent="0.25">
      <c r="A39" s="1"/>
      <c r="B39" s="32" t="s">
        <v>11</v>
      </c>
      <c r="C39" s="339">
        <v>15.845352103554735</v>
      </c>
      <c r="D39" s="339">
        <v>20.144177078588758</v>
      </c>
      <c r="E39" s="339">
        <v>5.8734851385285038</v>
      </c>
      <c r="F39" s="339">
        <v>5.93260194953214</v>
      </c>
      <c r="G39" s="339">
        <v>5.8197952499013894</v>
      </c>
      <c r="H39" s="339">
        <v>5.5105659920770993</v>
      </c>
      <c r="I39" s="339">
        <v>5.2603645860071575</v>
      </c>
      <c r="J39" s="339">
        <v>5.5997017271955833</v>
      </c>
      <c r="K39" s="339">
        <v>5.8670694094925739</v>
      </c>
      <c r="L39" s="339">
        <v>5.8971447568206594</v>
      </c>
      <c r="M39" s="339">
        <v>5.8640645103308779</v>
      </c>
      <c r="N39" s="339">
        <v>5.8110314116373916</v>
      </c>
      <c r="O39" s="339">
        <v>6.1496931974744378</v>
      </c>
      <c r="P39" s="339">
        <v>6.8661806880208553</v>
      </c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x14ac:dyDescent="0.25">
      <c r="A41" s="1"/>
      <c r="B41" s="17" t="s">
        <v>40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6" x14ac:dyDescent="0.25">
      <c r="A42" s="1"/>
      <c r="B42" s="17" t="s">
        <v>38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6" x14ac:dyDescent="0.25">
      <c r="A43" s="1"/>
      <c r="B43" s="17" t="s">
        <v>39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6" x14ac:dyDescent="0.25">
      <c r="A44" s="1"/>
      <c r="B44" s="41" t="s">
        <v>103</v>
      </c>
      <c r="C44" s="268"/>
      <c r="D44" s="268"/>
      <c r="E44" s="268"/>
      <c r="F44" s="268"/>
      <c r="G44" s="17"/>
      <c r="H44" s="226"/>
      <c r="I44" s="17"/>
      <c r="J44" s="18"/>
      <c r="K44" s="18"/>
      <c r="L44" s="18"/>
      <c r="M44" s="18"/>
      <c r="N44" s="18"/>
      <c r="O44" s="18"/>
    </row>
    <row r="45" spans="1:16" x14ac:dyDescent="0.25">
      <c r="A45" s="1"/>
      <c r="B45" s="268" t="s">
        <v>100</v>
      </c>
      <c r="C45" s="17"/>
      <c r="D45" s="17"/>
      <c r="E45" s="17"/>
      <c r="F45" s="17"/>
      <c r="G45" s="17"/>
      <c r="H45" s="18"/>
      <c r="I45" s="18"/>
      <c r="J45" s="18"/>
      <c r="K45" s="18"/>
      <c r="L45" s="18"/>
      <c r="M45" s="18"/>
      <c r="N45" s="18"/>
      <c r="O45" s="18"/>
    </row>
    <row r="46" spans="1:16" x14ac:dyDescent="0.25">
      <c r="A46" s="1"/>
      <c r="B46" s="17" t="s">
        <v>102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</sheetData>
  <phoneticPr fontId="10" type="noConversion"/>
  <pageMargins left="0.49" right="0.19685039370078741" top="0.68" bottom="0.81" header="0.55118110236220474" footer="0.51181102362204722"/>
  <pageSetup paperSize="9" scale="96" orientation="landscape" horizontalDpi="4294967292" r:id="rId1"/>
  <headerFooter alignWithMargins="0">
    <oddHeader>&amp;A</oddHeader>
    <oddFooter>&amp;L&amp;BAS Oslo SporveierKonfidensielt&amp;B&amp;C&amp;D&amp;RSide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AH135"/>
  <sheetViews>
    <sheetView topLeftCell="A30" zoomScaleNormal="100" workbookViewId="0">
      <selection activeCell="D35" sqref="D35"/>
    </sheetView>
  </sheetViews>
  <sheetFormatPr baseColWidth="10" defaultColWidth="9.109375" defaultRowHeight="13.2" x14ac:dyDescent="0.25"/>
  <cols>
    <col min="1" max="1" width="11.44140625" style="87" customWidth="1"/>
    <col min="2" max="2" width="41" style="87" customWidth="1"/>
    <col min="3" max="4" width="17" style="87" customWidth="1"/>
    <col min="5" max="5" width="14.33203125" style="87" customWidth="1"/>
    <col min="6" max="6" width="13" style="87" customWidth="1"/>
    <col min="7" max="7" width="15.6640625" style="87" customWidth="1"/>
    <col min="8" max="8" width="14.109375" style="87" customWidth="1"/>
    <col min="9" max="9" width="12.33203125" style="87" customWidth="1"/>
    <col min="10" max="15" width="13.5546875" style="87" customWidth="1"/>
    <col min="16" max="16" width="10.33203125" style="87" customWidth="1"/>
    <col min="17" max="17" width="11.109375" style="87" customWidth="1"/>
    <col min="18" max="18" width="14" style="90" customWidth="1"/>
    <col min="19" max="19" width="10.6640625" style="90" customWidth="1"/>
    <col min="20" max="20" width="11" style="90" customWidth="1"/>
    <col min="21" max="21" width="2.88671875" style="90" customWidth="1"/>
    <col min="22" max="24" width="10.6640625" style="90" customWidth="1"/>
    <col min="25" max="25" width="2.44140625" style="90" customWidth="1"/>
    <col min="26" max="28" width="10.6640625" style="90" customWidth="1"/>
    <col min="29" max="29" width="9.109375" style="90" customWidth="1"/>
    <col min="30" max="30" width="19.109375" style="90" customWidth="1"/>
    <col min="31" max="31" width="12.109375" style="90" customWidth="1"/>
    <col min="32" max="33" width="9.109375" style="90"/>
    <col min="34" max="16384" width="9.109375" style="87"/>
  </cols>
  <sheetData>
    <row r="1" spans="1:34" ht="18" x14ac:dyDescent="0.3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9"/>
      <c r="S1" s="89"/>
      <c r="T1" s="89"/>
      <c r="U1" s="89"/>
      <c r="V1" s="89"/>
      <c r="W1" s="89"/>
      <c r="X1" s="89"/>
    </row>
    <row r="2" spans="1:34" ht="18" x14ac:dyDescent="0.35">
      <c r="B2" s="91"/>
      <c r="C2" s="91"/>
      <c r="D2" s="91"/>
      <c r="E2" s="91"/>
      <c r="F2" s="91"/>
      <c r="G2" s="91"/>
      <c r="H2" s="91"/>
      <c r="I2" s="91"/>
      <c r="J2" s="91"/>
      <c r="K2" s="92"/>
      <c r="L2" s="93"/>
      <c r="M2" s="93"/>
      <c r="N2" s="94"/>
      <c r="O2" s="94"/>
      <c r="P2" s="88"/>
      <c r="Q2" s="92"/>
      <c r="R2" s="95"/>
      <c r="S2" s="95"/>
      <c r="T2" s="95"/>
      <c r="U2" s="95"/>
      <c r="V2" s="96"/>
      <c r="W2" s="95"/>
      <c r="X2" s="95"/>
      <c r="Z2" s="96"/>
      <c r="AA2" s="95"/>
      <c r="AB2" s="95"/>
    </row>
    <row r="3" spans="1:34" ht="18" x14ac:dyDescent="0.35">
      <c r="B3" s="92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88"/>
      <c r="Q3" s="92"/>
      <c r="R3" s="98"/>
      <c r="S3" s="98"/>
      <c r="T3" s="98"/>
      <c r="U3" s="95"/>
      <c r="V3" s="98"/>
      <c r="W3" s="98"/>
      <c r="X3" s="98"/>
      <c r="Y3" s="98"/>
      <c r="Z3" s="98"/>
      <c r="AA3" s="98"/>
      <c r="AB3" s="98"/>
    </row>
    <row r="4" spans="1:34" ht="18" x14ac:dyDescent="0.3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88"/>
      <c r="Q4" s="92"/>
    </row>
    <row r="5" spans="1:34" ht="15" x14ac:dyDescent="0.25">
      <c r="A5" s="99"/>
      <c r="B5" s="99"/>
      <c r="C5" s="99"/>
      <c r="D5" s="99"/>
      <c r="E5" s="99"/>
      <c r="F5" s="283"/>
      <c r="G5" s="99"/>
      <c r="H5" s="99"/>
      <c r="I5" s="99"/>
      <c r="J5" s="99"/>
      <c r="K5" s="99"/>
      <c r="L5" s="99"/>
      <c r="M5" s="99"/>
      <c r="N5" s="99"/>
      <c r="O5" s="99"/>
      <c r="P5" s="92"/>
      <c r="Q5" s="92"/>
      <c r="R5" s="100"/>
      <c r="S5" s="100"/>
      <c r="T5" s="100"/>
    </row>
    <row r="6" spans="1:34" x14ac:dyDescent="0.25">
      <c r="A6" s="99"/>
      <c r="B6" s="99"/>
      <c r="C6" s="99"/>
      <c r="D6" s="99"/>
      <c r="E6" s="99"/>
      <c r="F6" s="101"/>
      <c r="G6" s="99"/>
      <c r="H6" s="99"/>
      <c r="I6" s="99"/>
      <c r="J6" s="99"/>
      <c r="K6" s="99"/>
      <c r="L6" s="99"/>
      <c r="M6" s="99"/>
      <c r="N6" s="99"/>
      <c r="O6" s="99"/>
      <c r="P6" s="92"/>
      <c r="Q6" s="92"/>
      <c r="R6" s="101"/>
      <c r="S6" s="102"/>
      <c r="T6" s="102"/>
      <c r="U6" s="102"/>
      <c r="V6" s="102"/>
      <c r="W6" s="102"/>
      <c r="X6" s="102"/>
      <c r="Y6" s="102"/>
      <c r="Z6" s="102"/>
      <c r="AA6" s="102"/>
      <c r="AB6" s="102"/>
    </row>
    <row r="7" spans="1:34" x14ac:dyDescent="0.25">
      <c r="A7" s="99"/>
      <c r="B7" s="103" t="s">
        <v>50</v>
      </c>
      <c r="C7" s="103"/>
      <c r="D7" s="103"/>
      <c r="E7" s="103"/>
      <c r="F7" s="103"/>
      <c r="G7" s="103"/>
      <c r="H7" s="103"/>
      <c r="I7" s="103"/>
      <c r="J7" s="103"/>
      <c r="K7" s="99"/>
      <c r="L7" s="99"/>
      <c r="M7" s="99"/>
      <c r="N7" s="99"/>
      <c r="O7" s="99"/>
      <c r="P7" s="92"/>
      <c r="Q7" s="92"/>
      <c r="R7" s="104"/>
      <c r="S7" s="104"/>
      <c r="T7" s="102"/>
      <c r="U7" s="104"/>
      <c r="V7" s="105"/>
      <c r="W7" s="104"/>
      <c r="X7" s="105"/>
      <c r="Y7" s="102"/>
      <c r="Z7" s="102"/>
      <c r="AA7" s="104"/>
      <c r="AB7" s="102"/>
    </row>
    <row r="8" spans="1:34" s="111" customFormat="1" ht="13.8" x14ac:dyDescent="0.3">
      <c r="A8" s="106"/>
      <c r="B8" s="106"/>
      <c r="C8" s="107">
        <v>2021</v>
      </c>
      <c r="D8" s="107">
        <v>2020</v>
      </c>
      <c r="E8" s="107">
        <v>2019</v>
      </c>
      <c r="F8" s="107">
        <v>2018</v>
      </c>
      <c r="G8" s="107">
        <v>2017</v>
      </c>
      <c r="H8" s="107">
        <v>2016</v>
      </c>
      <c r="I8" s="107">
        <v>2015</v>
      </c>
      <c r="J8" s="107">
        <v>2014</v>
      </c>
      <c r="K8" s="107">
        <v>2013</v>
      </c>
      <c r="L8" s="107">
        <v>2012</v>
      </c>
      <c r="M8" s="107">
        <v>2011</v>
      </c>
      <c r="N8" s="107">
        <v>2010</v>
      </c>
      <c r="O8" s="107">
        <v>2009</v>
      </c>
      <c r="P8" s="108">
        <v>2008</v>
      </c>
      <c r="Q8" s="92"/>
      <c r="R8" s="92"/>
      <c r="S8" s="104"/>
      <c r="T8" s="104"/>
      <c r="U8" s="102"/>
      <c r="V8" s="104"/>
      <c r="W8" s="105"/>
      <c r="X8" s="104"/>
      <c r="Y8" s="105"/>
      <c r="Z8" s="102"/>
      <c r="AA8" s="102"/>
      <c r="AB8" s="104"/>
      <c r="AC8" s="109"/>
      <c r="AD8" s="110"/>
      <c r="AE8" s="90"/>
      <c r="AF8" s="90"/>
      <c r="AG8" s="90"/>
      <c r="AH8" s="90"/>
    </row>
    <row r="9" spans="1:34" s="111" customFormat="1" x14ac:dyDescent="0.25">
      <c r="A9" s="106"/>
      <c r="B9" s="112" t="s">
        <v>13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92"/>
      <c r="R9" s="92"/>
      <c r="S9" s="104"/>
      <c r="T9" s="104"/>
      <c r="U9" s="102"/>
      <c r="V9" s="104"/>
      <c r="W9" s="105"/>
      <c r="X9" s="104"/>
      <c r="Y9" s="105"/>
      <c r="Z9" s="102"/>
      <c r="AA9" s="102"/>
      <c r="AB9" s="104"/>
      <c r="AC9" s="114"/>
      <c r="AD9" s="110"/>
      <c r="AE9" s="90"/>
      <c r="AF9" s="90"/>
      <c r="AG9" s="90"/>
      <c r="AH9" s="90"/>
    </row>
    <row r="10" spans="1:34" s="111" customFormat="1" x14ac:dyDescent="0.25">
      <c r="A10" s="106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92"/>
      <c r="R10" s="92"/>
      <c r="S10" s="104"/>
      <c r="T10" s="104"/>
      <c r="U10" s="102"/>
      <c r="V10" s="104"/>
      <c r="W10" s="105"/>
      <c r="X10" s="104"/>
      <c r="Y10" s="105"/>
      <c r="Z10" s="102"/>
      <c r="AA10" s="102"/>
      <c r="AB10" s="104"/>
      <c r="AC10" s="114"/>
      <c r="AD10" s="110"/>
      <c r="AE10" s="90"/>
      <c r="AF10" s="90"/>
      <c r="AG10" s="90"/>
      <c r="AH10" s="90"/>
    </row>
    <row r="11" spans="1:34" x14ac:dyDescent="0.25">
      <c r="A11" s="99"/>
      <c r="B11" s="138" t="s">
        <v>12</v>
      </c>
      <c r="C11" s="296">
        <v>120.32667290523005</v>
      </c>
      <c r="D11" s="296">
        <f>'Bybuss 2020'!D11+'Regionbuss 2020'!D11</f>
        <v>117.63031043723659</v>
      </c>
      <c r="E11" s="132">
        <v>179.71244198673179</v>
      </c>
      <c r="F11" s="132">
        <v>167.78483707459492</v>
      </c>
      <c r="G11" s="118">
        <v>158.77980456829039</v>
      </c>
      <c r="H11" s="132">
        <v>146.8976354080902</v>
      </c>
      <c r="I11" s="132">
        <v>140.7328608232373</v>
      </c>
      <c r="J11" s="132">
        <v>139.49962263714053</v>
      </c>
      <c r="K11" s="132">
        <v>135.87107362355135</v>
      </c>
      <c r="L11" s="118">
        <v>133.23608966734201</v>
      </c>
      <c r="M11" s="118">
        <v>125.96453452134872</v>
      </c>
      <c r="N11" s="118">
        <v>119.18778221803257</v>
      </c>
      <c r="O11" s="118">
        <v>109.49128841280201</v>
      </c>
      <c r="P11" s="119">
        <v>101.24556121576205</v>
      </c>
      <c r="Q11" s="92"/>
      <c r="R11" s="92"/>
      <c r="S11" s="104"/>
      <c r="T11" s="104"/>
      <c r="U11" s="102"/>
      <c r="V11" s="104"/>
      <c r="W11" s="105"/>
      <c r="X11" s="104"/>
      <c r="Y11" s="105"/>
      <c r="Z11" s="102"/>
      <c r="AA11" s="102"/>
      <c r="AB11" s="104"/>
      <c r="AC11" s="102"/>
      <c r="AF11" s="120"/>
      <c r="AG11" s="120"/>
      <c r="AH11" s="120"/>
    </row>
    <row r="12" spans="1:34" x14ac:dyDescent="0.25">
      <c r="A12" s="99"/>
      <c r="B12" s="138" t="s">
        <v>78</v>
      </c>
      <c r="C12" s="296">
        <v>895.38561479421037</v>
      </c>
      <c r="D12" s="296">
        <f>'Bybuss 2020'!D12+'Regionbuss 2020'!D12</f>
        <v>845.25012807263397</v>
      </c>
      <c r="E12" s="132">
        <v>1453.9777232182923</v>
      </c>
      <c r="F12" s="132">
        <v>1375.0778871133102</v>
      </c>
      <c r="G12" s="118">
        <v>1308.1147111962171</v>
      </c>
      <c r="H12" s="118">
        <v>1199.9642612320758</v>
      </c>
      <c r="I12" s="132">
        <v>1127.0202775155822</v>
      </c>
      <c r="J12" s="132">
        <v>1117.0955810272478</v>
      </c>
      <c r="K12" s="132">
        <v>1092.9886622554452</v>
      </c>
      <c r="L12" s="118">
        <v>1073.9109190673178</v>
      </c>
      <c r="M12" s="118">
        <v>998.723069977553</v>
      </c>
      <c r="N12" s="118">
        <v>926.0099228565241</v>
      </c>
      <c r="O12" s="118">
        <v>850.58161610563252</v>
      </c>
      <c r="P12" s="119">
        <v>785.69960871197873</v>
      </c>
      <c r="Q12" s="92"/>
      <c r="R12" s="92"/>
      <c r="S12" s="104"/>
      <c r="T12" s="104"/>
      <c r="U12" s="102"/>
      <c r="V12" s="104"/>
      <c r="W12" s="105"/>
      <c r="X12" s="104"/>
      <c r="Y12" s="105"/>
      <c r="Z12" s="102"/>
      <c r="AA12" s="102"/>
      <c r="AB12" s="104"/>
      <c r="AC12" s="121"/>
      <c r="AH12" s="90"/>
    </row>
    <row r="13" spans="1:34" x14ac:dyDescent="0.25">
      <c r="A13" s="99"/>
      <c r="B13" s="189" t="s">
        <v>17</v>
      </c>
      <c r="C13" s="297">
        <v>78.374372224600336</v>
      </c>
      <c r="D13" s="297">
        <f>'Bybuss 2020'!D13+'Regionbuss 2020'!D13</f>
        <v>73.795435965913981</v>
      </c>
      <c r="E13" s="185">
        <v>72.389638025256204</v>
      </c>
      <c r="F13" s="185">
        <v>69.057091439799905</v>
      </c>
      <c r="G13" s="124">
        <v>63.157845490499902</v>
      </c>
      <c r="H13" s="124">
        <v>59.393639901299906</v>
      </c>
      <c r="I13" s="185">
        <v>57.883478671500001</v>
      </c>
      <c r="J13" s="185">
        <v>54.139408356334002</v>
      </c>
      <c r="K13" s="123">
        <v>53.377451461999996</v>
      </c>
      <c r="L13" s="123">
        <v>51.010142113000001</v>
      </c>
      <c r="M13" s="123">
        <v>49.188083593000002</v>
      </c>
      <c r="N13" s="124">
        <v>49.197266276000001</v>
      </c>
      <c r="O13" s="124">
        <v>48.061492000000001</v>
      </c>
      <c r="P13" s="125">
        <v>47.676712268999999</v>
      </c>
      <c r="Q13" s="92"/>
      <c r="R13" s="92"/>
      <c r="S13" s="104"/>
      <c r="T13" s="104"/>
      <c r="U13" s="102"/>
      <c r="V13" s="104"/>
      <c r="W13" s="105"/>
      <c r="X13" s="104"/>
      <c r="Y13" s="105"/>
      <c r="Z13" s="102"/>
      <c r="AA13" s="102"/>
      <c r="AB13" s="104"/>
      <c r="AC13" s="126"/>
      <c r="AH13" s="90"/>
    </row>
    <row r="14" spans="1:34" x14ac:dyDescent="0.25">
      <c r="A14" s="99"/>
      <c r="B14" s="138" t="s">
        <v>80</v>
      </c>
      <c r="C14" s="302">
        <v>5461.3387824329484</v>
      </c>
      <c r="D14" s="302">
        <f>'Bybuss 2020'!D14+'Regionbuss 2020'!D14</f>
        <v>5090.6753993119091</v>
      </c>
      <c r="E14" s="132">
        <v>3936.1659584877357</v>
      </c>
      <c r="F14" s="132">
        <v>3763.734691773835</v>
      </c>
      <c r="G14" s="118">
        <v>3460.7124841740256</v>
      </c>
      <c r="H14" s="118">
        <v>3220.3904343568556</v>
      </c>
      <c r="I14" s="132">
        <v>3200.2614092028298</v>
      </c>
      <c r="J14" s="132">
        <v>2890.9474181032201</v>
      </c>
      <c r="K14" s="132">
        <v>2885.0116144326903</v>
      </c>
      <c r="L14" s="118">
        <v>2720.83620157735</v>
      </c>
      <c r="M14" s="118">
        <v>2567.7980148067199</v>
      </c>
      <c r="N14" s="118">
        <v>2567.4018855655404</v>
      </c>
      <c r="O14" s="118">
        <v>2508.9870139104</v>
      </c>
      <c r="P14" s="119">
        <v>2500.1475023980802</v>
      </c>
      <c r="Q14" s="92"/>
      <c r="R14" s="92"/>
      <c r="S14" s="104"/>
      <c r="T14" s="104"/>
      <c r="U14" s="102"/>
      <c r="V14" s="104"/>
      <c r="W14" s="105"/>
      <c r="X14" s="104"/>
      <c r="Y14" s="105"/>
      <c r="Z14" s="102"/>
      <c r="AA14" s="102"/>
      <c r="AB14" s="104"/>
      <c r="AC14" s="121"/>
      <c r="AH14" s="90"/>
    </row>
    <row r="15" spans="1:34" x14ac:dyDescent="0.25">
      <c r="A15" s="99"/>
      <c r="B15" s="138" t="s">
        <v>1</v>
      </c>
      <c r="C15" s="253">
        <f t="shared" ref="C15:J15" si="0">C12/C14</f>
        <v>0.1639498391263193</v>
      </c>
      <c r="D15" s="253">
        <f t="shared" si="0"/>
        <v>0.16603889695793289</v>
      </c>
      <c r="E15" s="253">
        <f t="shared" si="0"/>
        <v>0.36938933433002574</v>
      </c>
      <c r="F15" s="253">
        <f t="shared" si="0"/>
        <v>0.36534931383945152</v>
      </c>
      <c r="G15" s="181">
        <f t="shared" si="0"/>
        <v>0.37798999979867648</v>
      </c>
      <c r="H15" s="181">
        <f t="shared" si="0"/>
        <v>0.37261452786289895</v>
      </c>
      <c r="I15" s="181">
        <f t="shared" si="0"/>
        <v>0.35216506822682264</v>
      </c>
      <c r="J15" s="181">
        <f t="shared" si="0"/>
        <v>0.38641158743737564</v>
      </c>
      <c r="K15" s="175">
        <v>0.37885069744177474</v>
      </c>
      <c r="L15" s="127">
        <v>0.39469884973036579</v>
      </c>
      <c r="M15" s="127">
        <v>0.38894144485610083</v>
      </c>
      <c r="N15" s="128">
        <v>0.36067977049590161</v>
      </c>
      <c r="O15" s="128">
        <v>0.33901395718264493</v>
      </c>
      <c r="P15" s="128">
        <v>0.31426130176653777</v>
      </c>
      <c r="Q15" s="92"/>
      <c r="R15" s="92"/>
      <c r="S15" s="104"/>
      <c r="T15" s="104"/>
      <c r="U15" s="102"/>
      <c r="V15" s="104"/>
      <c r="W15" s="105"/>
      <c r="X15" s="104"/>
      <c r="Y15" s="105"/>
      <c r="Z15" s="102"/>
      <c r="AA15" s="102"/>
      <c r="AB15" s="104"/>
      <c r="AC15" s="129"/>
      <c r="AH15" s="90"/>
    </row>
    <row r="16" spans="1:34" x14ac:dyDescent="0.25">
      <c r="A16" s="99"/>
      <c r="B16" s="117" t="s">
        <v>18</v>
      </c>
      <c r="C16" s="296">
        <v>4996.7623902439027</v>
      </c>
      <c r="D16" s="296">
        <f>'Bybuss 2020'!D16+'Regionbuss 2020'!D16</f>
        <v>4821.2569999999996</v>
      </c>
      <c r="E16" s="132">
        <v>4678.3469999999998</v>
      </c>
      <c r="F16" s="132">
        <v>4360.12</v>
      </c>
      <c r="G16" s="118">
        <v>3996.2310000000002</v>
      </c>
      <c r="H16" s="132">
        <v>3633.7370000000001</v>
      </c>
      <c r="I16" s="132">
        <v>3623.8119999999999</v>
      </c>
      <c r="J16" s="132">
        <v>3354.6220000000003</v>
      </c>
      <c r="K16" s="132">
        <v>3342.6840000000002</v>
      </c>
      <c r="L16" s="130">
        <v>3089.3760000000002</v>
      </c>
      <c r="M16" s="130">
        <v>2957.7860000000001</v>
      </c>
      <c r="N16" s="131">
        <v>2903.8530000000001</v>
      </c>
      <c r="O16" s="118">
        <v>2804.4630000000002</v>
      </c>
      <c r="P16" s="119">
        <v>2854.6260000000002</v>
      </c>
      <c r="Q16" s="92"/>
      <c r="R16" s="92"/>
      <c r="S16" s="104"/>
      <c r="T16" s="104"/>
      <c r="U16" s="102"/>
      <c r="V16" s="104"/>
      <c r="W16" s="105"/>
      <c r="X16" s="104"/>
      <c r="Y16" s="105"/>
      <c r="Z16" s="102"/>
      <c r="AA16" s="102"/>
      <c r="AB16" s="104"/>
      <c r="AC16" s="102"/>
      <c r="AH16" s="90"/>
    </row>
    <row r="17" spans="1:34" x14ac:dyDescent="0.25">
      <c r="A17" s="99"/>
      <c r="B17" s="117" t="s">
        <v>89</v>
      </c>
      <c r="C17" s="296">
        <v>2836.6272412774406</v>
      </c>
      <c r="D17" s="296">
        <f>'Bybuss 2020'!D17+'Regionbuss 2020'!D17</f>
        <v>2681.2099757801579</v>
      </c>
      <c r="E17" s="132">
        <v>2637.99359517533</v>
      </c>
      <c r="F17" s="132">
        <v>2480.24481871123</v>
      </c>
      <c r="G17" s="118">
        <v>2251.6960829999898</v>
      </c>
      <c r="H17" s="132">
        <v>2136.044423331</v>
      </c>
      <c r="I17" s="132">
        <v>2090.6256236111094</v>
      </c>
      <c r="J17" s="132">
        <v>1951.3979912160698</v>
      </c>
      <c r="K17" s="132">
        <v>2316.09238</v>
      </c>
      <c r="L17" s="132">
        <v>2189.3714399999999</v>
      </c>
      <c r="M17" s="132">
        <v>2136.6390833300002</v>
      </c>
      <c r="N17" s="118">
        <v>2134.0590899999997</v>
      </c>
      <c r="O17" s="133">
        <v>2084.6869999999999</v>
      </c>
      <c r="P17" s="119">
        <v>2048.9691000000003</v>
      </c>
      <c r="Q17" s="92"/>
      <c r="R17" s="92"/>
      <c r="S17" s="104"/>
      <c r="T17" s="134"/>
      <c r="U17" s="134"/>
      <c r="V17" s="134"/>
      <c r="W17" s="134"/>
      <c r="X17" s="134"/>
      <c r="Y17" s="134"/>
      <c r="Z17" s="102"/>
      <c r="AA17" s="134"/>
      <c r="AB17" s="134"/>
      <c r="AC17" s="102"/>
      <c r="AH17" s="90"/>
    </row>
    <row r="18" spans="1:34" x14ac:dyDescent="0.25">
      <c r="A18" s="99"/>
      <c r="B18" s="117" t="s">
        <v>58</v>
      </c>
      <c r="C18" s="123">
        <v>27.629422394359224</v>
      </c>
      <c r="D18" s="123">
        <v>27.523184171519993</v>
      </c>
      <c r="E18" s="123">
        <v>27.441172775267841</v>
      </c>
      <c r="F18" s="123">
        <v>27.842852817925827</v>
      </c>
      <c r="G18" s="124">
        <v>28.049009796363439</v>
      </c>
      <c r="H18" s="49">
        <v>27.805432907935508</v>
      </c>
      <c r="I18" s="123">
        <v>27.687156427136223</v>
      </c>
      <c r="J18" s="124">
        <v>27.743909033438879</v>
      </c>
      <c r="K18" s="117"/>
      <c r="L18" s="117"/>
      <c r="M18" s="135"/>
      <c r="N18" s="124"/>
      <c r="O18" s="124"/>
      <c r="P18" s="136"/>
      <c r="Q18" s="92"/>
      <c r="R18" s="92"/>
      <c r="S18" s="104"/>
      <c r="T18" s="134"/>
      <c r="U18" s="134"/>
      <c r="V18" s="134"/>
      <c r="W18" s="134"/>
      <c r="X18" s="134"/>
      <c r="Y18" s="134"/>
      <c r="Z18" s="102"/>
      <c r="AA18" s="134"/>
      <c r="AB18" s="134"/>
      <c r="AC18" s="102"/>
      <c r="AH18" s="90"/>
    </row>
    <row r="19" spans="1:34" x14ac:dyDescent="0.25">
      <c r="A19" s="99"/>
      <c r="B19" s="122"/>
      <c r="C19" s="122"/>
      <c r="D19" s="122"/>
      <c r="E19" s="122"/>
      <c r="F19" s="122"/>
      <c r="G19" s="135"/>
      <c r="H19" s="122"/>
      <c r="I19" s="122"/>
      <c r="J19" s="122"/>
      <c r="K19" s="122"/>
      <c r="L19" s="137"/>
      <c r="M19" s="135"/>
      <c r="N19" s="135"/>
      <c r="O19" s="135"/>
      <c r="P19" s="119"/>
      <c r="Q19" s="92"/>
      <c r="R19" s="92"/>
      <c r="S19" s="104"/>
      <c r="T19" s="134"/>
      <c r="U19" s="134"/>
      <c r="V19" s="134"/>
      <c r="W19" s="134"/>
      <c r="X19" s="134"/>
      <c r="Y19" s="134"/>
      <c r="Z19" s="102"/>
      <c r="AA19" s="134"/>
      <c r="AB19" s="134"/>
      <c r="AC19" s="102"/>
      <c r="AH19" s="90"/>
    </row>
    <row r="20" spans="1:34" x14ac:dyDescent="0.25">
      <c r="A20" s="99"/>
      <c r="B20" s="117"/>
      <c r="C20" s="117"/>
      <c r="D20" s="117"/>
      <c r="E20" s="117"/>
      <c r="F20" s="117"/>
      <c r="G20" s="135"/>
      <c r="H20" s="117"/>
      <c r="I20" s="117"/>
      <c r="J20" s="117"/>
      <c r="K20" s="117"/>
      <c r="L20" s="138"/>
      <c r="M20" s="136"/>
      <c r="N20" s="136"/>
      <c r="O20" s="135"/>
      <c r="P20" s="136"/>
      <c r="Q20" s="92"/>
      <c r="R20" s="134"/>
      <c r="S20" s="134"/>
      <c r="T20" s="134"/>
      <c r="U20" s="134"/>
      <c r="V20" s="134"/>
      <c r="W20" s="134"/>
      <c r="X20" s="102"/>
      <c r="Y20" s="134"/>
      <c r="Z20" s="134"/>
      <c r="AA20" s="102"/>
      <c r="AG20" s="87"/>
    </row>
    <row r="21" spans="1:34" x14ac:dyDescent="0.25">
      <c r="A21" s="99"/>
      <c r="B21" s="138" t="s">
        <v>6</v>
      </c>
      <c r="C21" s="176">
        <v>0.40108771241772601</v>
      </c>
      <c r="D21" s="176">
        <v>0.40644048420368251</v>
      </c>
      <c r="E21" s="176">
        <v>0.25228416786749397</v>
      </c>
      <c r="F21" s="139">
        <v>0.27</v>
      </c>
      <c r="G21" s="139">
        <v>0.23033267849935718</v>
      </c>
      <c r="H21" s="184">
        <v>0.2653538510121789</v>
      </c>
      <c r="I21" s="239">
        <v>0.27853053966079566</v>
      </c>
      <c r="J21" s="176">
        <v>0.26851478332004969</v>
      </c>
      <c r="K21" s="176">
        <v>0.26300000000000001</v>
      </c>
      <c r="L21" s="139">
        <v>0.27060334206526826</v>
      </c>
      <c r="M21" s="140">
        <v>0.29541128806788858</v>
      </c>
      <c r="N21" s="140">
        <v>0.3071968741712674</v>
      </c>
      <c r="O21" s="139">
        <v>0.32930293855756376</v>
      </c>
      <c r="P21" s="140">
        <v>0.34606361524060986</v>
      </c>
      <c r="Q21" s="92"/>
      <c r="R21" s="102"/>
      <c r="S21" s="102"/>
      <c r="T21" s="102"/>
      <c r="U21" s="102"/>
      <c r="V21" s="102"/>
      <c r="W21" s="102"/>
      <c r="X21" s="102"/>
      <c r="Y21" s="102"/>
      <c r="Z21" s="102"/>
      <c r="AA21" s="134"/>
      <c r="AG21" s="87"/>
    </row>
    <row r="22" spans="1:34" ht="15" x14ac:dyDescent="0.35">
      <c r="A22" s="99"/>
      <c r="B22" s="141" t="s">
        <v>44</v>
      </c>
      <c r="C22" s="177">
        <v>1.9516525688058659E-2</v>
      </c>
      <c r="D22" s="177">
        <v>2.8443392623765145E-2</v>
      </c>
      <c r="E22" s="177">
        <v>2.840139799982357E-2</v>
      </c>
      <c r="F22" s="146">
        <v>3.6204916754952014E-2</v>
      </c>
      <c r="G22" s="146">
        <v>3.2844047675842883E-2</v>
      </c>
      <c r="H22" s="177">
        <v>4.4307488471108727E-2</v>
      </c>
      <c r="I22" s="240">
        <v>5.2951905555686914E-2</v>
      </c>
      <c r="J22" s="177">
        <v>5.5873715787261719E-2</v>
      </c>
      <c r="K22" s="177">
        <v>5.6300000000000003E-2</v>
      </c>
      <c r="L22" s="142">
        <v>5.7510408157167209E-2</v>
      </c>
      <c r="M22" s="143">
        <v>6.3507473688378988E-2</v>
      </c>
      <c r="N22" s="142">
        <v>7.2901209847550705E-2</v>
      </c>
      <c r="O22" s="139">
        <v>8.0033596266128798E-2</v>
      </c>
      <c r="P22" s="140">
        <v>8.5674276268379201E-2</v>
      </c>
      <c r="Q22" s="92"/>
      <c r="R22" s="144"/>
      <c r="S22" s="145"/>
      <c r="T22" s="145"/>
      <c r="U22" s="145"/>
      <c r="V22" s="145"/>
      <c r="W22" s="145"/>
      <c r="X22" s="102"/>
      <c r="Y22" s="102"/>
      <c r="Z22" s="102"/>
      <c r="AA22" s="145"/>
      <c r="AG22" s="87"/>
    </row>
    <row r="23" spans="1:34" ht="15" x14ac:dyDescent="0.35">
      <c r="A23" s="99"/>
      <c r="B23" s="304" t="s">
        <v>14</v>
      </c>
      <c r="C23" s="146">
        <v>7.6254388111531429E-2</v>
      </c>
      <c r="D23" s="146">
        <v>0.13491662574489496</v>
      </c>
      <c r="E23" s="146">
        <v>0.20495499706858999</v>
      </c>
      <c r="F23" s="146">
        <v>0.15748053403331025</v>
      </c>
      <c r="G23" s="146">
        <v>0.13420688453190732</v>
      </c>
      <c r="H23" s="146">
        <v>0.16773832900011679</v>
      </c>
      <c r="I23" s="305">
        <v>0.20682147832658607</v>
      </c>
      <c r="J23" s="146">
        <v>0.23615257681338908</v>
      </c>
      <c r="K23" s="146">
        <v>0.24</v>
      </c>
      <c r="L23" s="146">
        <v>0.28792611613311797</v>
      </c>
      <c r="M23" s="146">
        <v>0.46163124927762889</v>
      </c>
      <c r="N23" s="146">
        <v>0.57260561583742242</v>
      </c>
      <c r="O23" s="139">
        <v>0.68705399759321573</v>
      </c>
      <c r="P23" s="140">
        <v>0.87735387449989966</v>
      </c>
      <c r="Q23" s="92"/>
      <c r="R23" s="145"/>
      <c r="S23" s="145"/>
      <c r="T23" s="145"/>
      <c r="U23" s="145"/>
      <c r="V23" s="145"/>
      <c r="W23" s="145"/>
      <c r="X23" s="102"/>
      <c r="Y23" s="102"/>
      <c r="Z23" s="102"/>
      <c r="AA23" s="145"/>
      <c r="AG23" s="87"/>
    </row>
    <row r="24" spans="1:34" ht="15" x14ac:dyDescent="0.35">
      <c r="A24" s="99"/>
      <c r="B24" s="304" t="s">
        <v>45</v>
      </c>
      <c r="C24" s="307">
        <v>1.9351961818129535E-3</v>
      </c>
      <c r="D24" s="307">
        <v>2.5372336421766377E-3</v>
      </c>
      <c r="E24" s="307">
        <v>2.7510737861555705E-3</v>
      </c>
      <c r="F24" s="307">
        <v>7.8954248366013067E-4</v>
      </c>
      <c r="G24" s="307">
        <v>1.1214612812193579E-3</v>
      </c>
      <c r="H24" s="146">
        <v>1.7186020175979221E-2</v>
      </c>
      <c r="I24" s="305">
        <v>1.8920431749321193E-2</v>
      </c>
      <c r="J24" s="146">
        <v>1.8011709420592544E-2</v>
      </c>
      <c r="K24" s="146">
        <v>1.8200000000000001E-2</v>
      </c>
      <c r="L24" s="146">
        <v>1.8994575236944148E-2</v>
      </c>
      <c r="M24" s="146">
        <v>2.0655046271004538E-2</v>
      </c>
      <c r="N24" s="146">
        <v>2.2858191708325506E-2</v>
      </c>
      <c r="O24" s="140">
        <v>2.5536550374456509E-2</v>
      </c>
      <c r="P24" s="140">
        <v>3.205439677938126E-2</v>
      </c>
      <c r="Q24" s="92"/>
      <c r="R24" s="147"/>
      <c r="S24" s="147"/>
      <c r="T24" s="147"/>
      <c r="W24" s="148"/>
      <c r="AA24" s="149"/>
      <c r="AG24" s="87"/>
    </row>
    <row r="25" spans="1:34" x14ac:dyDescent="0.25">
      <c r="A25" s="99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35"/>
      <c r="M25" s="117"/>
      <c r="N25" s="135"/>
      <c r="O25" s="135"/>
      <c r="P25" s="136"/>
      <c r="Q25" s="92"/>
      <c r="R25" s="147"/>
      <c r="S25" s="147"/>
      <c r="T25" s="147"/>
      <c r="W25" s="148"/>
      <c r="AA25" s="102"/>
      <c r="AG25" s="87"/>
    </row>
    <row r="26" spans="1:34" x14ac:dyDescent="0.25">
      <c r="A26" s="99"/>
      <c r="B26" s="150" t="s">
        <v>2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1"/>
      <c r="O26" s="151"/>
      <c r="P26" s="152"/>
      <c r="Q26" s="92"/>
      <c r="AA26" s="102"/>
      <c r="AG26" s="87"/>
    </row>
    <row r="27" spans="1:34" x14ac:dyDescent="0.25">
      <c r="A27" s="99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35"/>
      <c r="O27" s="135"/>
      <c r="P27" s="136"/>
      <c r="Q27" s="92"/>
      <c r="Z27" s="120"/>
      <c r="AA27" s="102"/>
      <c r="AG27" s="87"/>
    </row>
    <row r="28" spans="1:34" x14ac:dyDescent="0.25">
      <c r="A28" s="99"/>
      <c r="B28" s="138" t="s">
        <v>25</v>
      </c>
      <c r="C28" s="340">
        <v>1247.3037600416753</v>
      </c>
      <c r="D28" s="340">
        <v>1264.289007508755</v>
      </c>
      <c r="E28" s="340">
        <v>2051.240196501617</v>
      </c>
      <c r="F28" s="340">
        <v>1929.0956478612522</v>
      </c>
      <c r="G28" s="340">
        <v>1837.0681686180824</v>
      </c>
      <c r="H28" s="340">
        <v>1639.2159436691636</v>
      </c>
      <c r="I28" s="340">
        <v>1597.4646044277561</v>
      </c>
      <c r="J28" s="340">
        <v>1550.5568218967758</v>
      </c>
      <c r="K28" s="340">
        <v>1478.0906495545462</v>
      </c>
      <c r="L28" s="340">
        <v>1440.2171396712477</v>
      </c>
      <c r="M28" s="340">
        <v>1434.3463712193416</v>
      </c>
      <c r="N28" s="340">
        <v>1305.0144809429753</v>
      </c>
      <c r="O28" s="340">
        <v>1239.1687221424795</v>
      </c>
      <c r="P28" s="341">
        <v>1290.3584441796113</v>
      </c>
      <c r="Q28" s="92"/>
      <c r="AA28" s="121"/>
      <c r="AD28" s="153"/>
      <c r="AG28" s="87"/>
    </row>
    <row r="29" spans="1:34" x14ac:dyDescent="0.25">
      <c r="A29" s="99"/>
      <c r="B29" s="138" t="s">
        <v>41</v>
      </c>
      <c r="C29" s="340">
        <v>2710.3620659699673</v>
      </c>
      <c r="D29" s="340">
        <v>2637.8968406154167</v>
      </c>
      <c r="E29" s="340">
        <v>1582.2039012859154</v>
      </c>
      <c r="F29" s="340">
        <v>1270.3892056070119</v>
      </c>
      <c r="G29" s="340">
        <v>1120.6665166156199</v>
      </c>
      <c r="H29" s="340">
        <v>1159.8530070073698</v>
      </c>
      <c r="I29" s="340">
        <v>1170.9396866728464</v>
      </c>
      <c r="J29" s="340">
        <v>1144.8049644129474</v>
      </c>
      <c r="K29" s="340">
        <v>1127.2117966410533</v>
      </c>
      <c r="L29" s="340">
        <v>1114.5296282263832</v>
      </c>
      <c r="M29" s="340">
        <v>984.84644186220271</v>
      </c>
      <c r="N29" s="340">
        <v>972.95828127200866</v>
      </c>
      <c r="O29" s="340">
        <v>1013.7020576128039</v>
      </c>
      <c r="P29" s="341">
        <v>925.93382513857068</v>
      </c>
      <c r="Q29" s="92"/>
      <c r="R29" s="154"/>
      <c r="S29" s="154"/>
      <c r="AA29" s="121"/>
      <c r="AG29" s="87"/>
    </row>
    <row r="30" spans="1:34" x14ac:dyDescent="0.25">
      <c r="A30" s="99"/>
      <c r="B30" s="138" t="s">
        <v>26</v>
      </c>
      <c r="C30" s="340">
        <v>3979.7005480116422</v>
      </c>
      <c r="D30" s="340">
        <v>3921.5821919018986</v>
      </c>
      <c r="E30" s="340">
        <v>3655.9075616864493</v>
      </c>
      <c r="F30" s="340">
        <v>3221.6927270845017</v>
      </c>
      <c r="G30" s="340">
        <v>2982.9877324817412</v>
      </c>
      <c r="H30" s="340">
        <v>2822.6315981988419</v>
      </c>
      <c r="I30" s="340">
        <v>2789.9526600000004</v>
      </c>
      <c r="J30" s="340">
        <v>2716.4032032686418</v>
      </c>
      <c r="K30" s="340">
        <v>2633.4542909280499</v>
      </c>
      <c r="L30" s="340">
        <v>2566.982127795527</v>
      </c>
      <c r="M30" s="340">
        <v>2434.0234340836014</v>
      </c>
      <c r="N30" s="340">
        <v>2290.4084462540718</v>
      </c>
      <c r="O30" s="340">
        <v>2265.6495283648496</v>
      </c>
      <c r="P30" s="341">
        <v>2230.9551715909092</v>
      </c>
      <c r="Q30" s="92"/>
      <c r="S30" s="155"/>
      <c r="Z30" s="153"/>
      <c r="AA30" s="121"/>
      <c r="AG30" s="87"/>
    </row>
    <row r="31" spans="1:34" x14ac:dyDescent="0.25">
      <c r="A31" s="99"/>
      <c r="B31" s="138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3"/>
      <c r="Q31" s="92"/>
      <c r="AA31" s="102"/>
      <c r="AG31" s="87"/>
    </row>
    <row r="32" spans="1:34" x14ac:dyDescent="0.25">
      <c r="A32" s="99"/>
      <c r="B32" s="138" t="s">
        <v>35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3"/>
      <c r="Q32" s="92"/>
      <c r="AA32" s="102"/>
      <c r="AG32" s="87"/>
    </row>
    <row r="33" spans="1:34" x14ac:dyDescent="0.25">
      <c r="A33" s="99"/>
      <c r="B33" s="138" t="s">
        <v>7</v>
      </c>
      <c r="C33" s="336">
        <v>796.45583223687868</v>
      </c>
      <c r="D33" s="336">
        <v>813.39414013853627</v>
      </c>
      <c r="E33" s="336">
        <v>781.45284257162825</v>
      </c>
      <c r="F33" s="336">
        <v>738.90001355111826</v>
      </c>
      <c r="G33" s="336">
        <v>746.45027589289532</v>
      </c>
      <c r="H33" s="336">
        <v>776.78478057130769</v>
      </c>
      <c r="I33" s="336">
        <v>769.89442609053674</v>
      </c>
      <c r="J33" s="336">
        <v>809.74941536442611</v>
      </c>
      <c r="K33" s="336">
        <v>787.82627700615728</v>
      </c>
      <c r="L33" s="336">
        <v>830.90634736449272</v>
      </c>
      <c r="M33" s="336">
        <v>822.92073668737407</v>
      </c>
      <c r="N33" s="336">
        <v>788.74806894635219</v>
      </c>
      <c r="O33" s="336">
        <v>807.87285422016612</v>
      </c>
      <c r="P33" s="336">
        <v>781.52275345033263</v>
      </c>
      <c r="Q33" s="92"/>
      <c r="R33" s="92"/>
      <c r="S33" s="104"/>
      <c r="AC33" s="102"/>
      <c r="AH33" s="90"/>
    </row>
    <row r="34" spans="1:34" x14ac:dyDescent="0.25">
      <c r="A34" s="99"/>
      <c r="B34" s="138" t="s">
        <v>15</v>
      </c>
      <c r="C34" s="319">
        <v>0.72870420725643803</v>
      </c>
      <c r="D34" s="319">
        <v>0.77034614943863178</v>
      </c>
      <c r="E34" s="319">
        <v>0.92879914115487117</v>
      </c>
      <c r="F34" s="319">
        <v>0.85598295069149233</v>
      </c>
      <c r="G34" s="319">
        <v>0.86195768822838115</v>
      </c>
      <c r="H34" s="319">
        <v>0.87648738739423993</v>
      </c>
      <c r="I34" s="319">
        <v>0.87178898947975769</v>
      </c>
      <c r="J34" s="319">
        <v>0.93962387079696574</v>
      </c>
      <c r="K34" s="319">
        <v>0.91280543820129234</v>
      </c>
      <c r="L34" s="319">
        <v>0.94345338624477681</v>
      </c>
      <c r="M34" s="319">
        <v>0.94790299706139935</v>
      </c>
      <c r="N34" s="319">
        <v>0.89211138276840007</v>
      </c>
      <c r="O34" s="319">
        <v>0.90301365284219026</v>
      </c>
      <c r="P34" s="319">
        <v>0.89232942034461238</v>
      </c>
      <c r="Q34" s="92"/>
      <c r="R34" s="92"/>
      <c r="S34" s="104"/>
      <c r="AC34" s="102"/>
      <c r="AH34" s="90"/>
    </row>
    <row r="35" spans="1:34" x14ac:dyDescent="0.25">
      <c r="A35" s="99"/>
      <c r="B35" s="138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92"/>
      <c r="R35" s="92"/>
      <c r="S35" s="104"/>
      <c r="AC35" s="102"/>
      <c r="AH35" s="90"/>
    </row>
    <row r="36" spans="1:34" x14ac:dyDescent="0.25">
      <c r="A36" s="99"/>
      <c r="B36" s="117" t="s">
        <v>36</v>
      </c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92"/>
      <c r="R36" s="92"/>
      <c r="S36" s="104"/>
      <c r="AC36" s="102"/>
      <c r="AH36" s="90"/>
    </row>
    <row r="37" spans="1:34" x14ac:dyDescent="0.25">
      <c r="A37" s="99"/>
      <c r="B37" s="117" t="s">
        <v>8</v>
      </c>
      <c r="C37" s="319">
        <v>10.365978963151907</v>
      </c>
      <c r="D37" s="319">
        <v>10.7479866610004</v>
      </c>
      <c r="E37" s="319">
        <v>11.414013263773137</v>
      </c>
      <c r="F37" s="319">
        <v>11.497437322084128</v>
      </c>
      <c r="G37" s="319">
        <v>11.569910755419583</v>
      </c>
      <c r="H37" s="319">
        <v>11.158899454816451</v>
      </c>
      <c r="I37" s="319">
        <v>11.351041932091446</v>
      </c>
      <c r="J37" s="319">
        <v>11.11513273358457</v>
      </c>
      <c r="K37" s="319">
        <v>10.878626407632506</v>
      </c>
      <c r="L37" s="319">
        <v>10.809512222004701</v>
      </c>
      <c r="M37" s="319">
        <v>11.386906454818405</v>
      </c>
      <c r="N37" s="319">
        <v>10.949230337684163</v>
      </c>
      <c r="O37" s="319">
        <v>11.317509731647222</v>
      </c>
      <c r="P37" s="319">
        <v>12.744839661955734</v>
      </c>
      <c r="Q37" s="92"/>
      <c r="R37" s="92"/>
      <c r="S37" s="104"/>
      <c r="AC37" s="134"/>
      <c r="AH37" s="90"/>
    </row>
    <row r="38" spans="1:34" x14ac:dyDescent="0.25">
      <c r="A38" s="99"/>
      <c r="B38" s="117" t="s">
        <v>9</v>
      </c>
      <c r="C38" s="319">
        <v>1.3930352905304912</v>
      </c>
      <c r="D38" s="319">
        <v>1.4957572504503807</v>
      </c>
      <c r="E38" s="319">
        <v>1.4107782834260487</v>
      </c>
      <c r="F38" s="319">
        <v>1.4028991855224922</v>
      </c>
      <c r="G38" s="319">
        <v>1.4043632052254493</v>
      </c>
      <c r="H38" s="319">
        <v>1.3660539706291599</v>
      </c>
      <c r="I38" s="319">
        <v>1.4174231256506116</v>
      </c>
      <c r="J38" s="319">
        <v>1.3880252041377963</v>
      </c>
      <c r="K38" s="319">
        <v>1.352338501393437</v>
      </c>
      <c r="L38" s="319">
        <v>1.3410955360450787</v>
      </c>
      <c r="M38" s="319">
        <v>1.4361802729274888</v>
      </c>
      <c r="N38" s="319">
        <v>1.4092877935015111</v>
      </c>
      <c r="O38" s="319">
        <v>1.4568487005585469</v>
      </c>
      <c r="P38" s="319">
        <v>1.6423050614660928</v>
      </c>
      <c r="Q38" s="92"/>
      <c r="R38" s="92"/>
      <c r="S38" s="134"/>
      <c r="U38" s="157"/>
      <c r="AC38" s="134"/>
      <c r="AH38" s="90"/>
    </row>
    <row r="39" spans="1:34" x14ac:dyDescent="0.25">
      <c r="A39" s="99"/>
      <c r="B39" s="117" t="s">
        <v>16</v>
      </c>
      <c r="C39" s="319">
        <v>0.22838791177975948</v>
      </c>
      <c r="D39" s="319">
        <v>0.24835388398161176</v>
      </c>
      <c r="E39" s="319">
        <v>0.5211264510020045</v>
      </c>
      <c r="F39" s="319">
        <v>0.51254825481656785</v>
      </c>
      <c r="G39" s="319">
        <v>0.53083524766043622</v>
      </c>
      <c r="H39" s="319">
        <v>0.50901155530122277</v>
      </c>
      <c r="I39" s="319">
        <v>0.49916691175102385</v>
      </c>
      <c r="J39" s="319">
        <v>0.53634902253397321</v>
      </c>
      <c r="K39" s="319">
        <v>0.51233438443026802</v>
      </c>
      <c r="L39" s="319">
        <v>0.52932886545552094</v>
      </c>
      <c r="M39" s="319">
        <v>0.55859003042624666</v>
      </c>
      <c r="N39" s="319">
        <v>0.5083015979228005</v>
      </c>
      <c r="O39" s="319">
        <v>0.49389204299274714</v>
      </c>
      <c r="P39" s="319">
        <v>0.51611292651410812</v>
      </c>
      <c r="Q39" s="92"/>
      <c r="R39" s="92"/>
      <c r="S39" s="134"/>
      <c r="AC39" s="134"/>
      <c r="AH39" s="90"/>
    </row>
    <row r="40" spans="1:34" x14ac:dyDescent="0.25">
      <c r="A40" s="99"/>
      <c r="B40" s="117" t="s">
        <v>10</v>
      </c>
      <c r="C40" s="319">
        <v>33.074134370407435</v>
      </c>
      <c r="D40" s="319">
        <v>33.338194699352741</v>
      </c>
      <c r="E40" s="319">
        <v>20.343096567328185</v>
      </c>
      <c r="F40" s="319">
        <v>19.201334180466972</v>
      </c>
      <c r="G40" s="319">
        <v>18.786946744217545</v>
      </c>
      <c r="H40" s="319">
        <v>19.214955981812825</v>
      </c>
      <c r="I40" s="319">
        <v>19.824457796706238</v>
      </c>
      <c r="J40" s="319">
        <v>19.472477071385452</v>
      </c>
      <c r="K40" s="319">
        <v>19.38200840470563</v>
      </c>
      <c r="L40" s="319">
        <v>19.266417486468228</v>
      </c>
      <c r="M40" s="319">
        <v>19.323085210711259</v>
      </c>
      <c r="N40" s="319">
        <v>19.216805645935942</v>
      </c>
      <c r="O40" s="319">
        <v>20.692509524802926</v>
      </c>
      <c r="P40" s="319">
        <v>22.035091166481589</v>
      </c>
      <c r="Q40" s="92"/>
      <c r="R40" s="92"/>
      <c r="S40" s="134"/>
      <c r="U40" s="153"/>
      <c r="AC40" s="134"/>
      <c r="AH40" s="90"/>
    </row>
    <row r="41" spans="1:34" x14ac:dyDescent="0.25">
      <c r="A41" s="99"/>
      <c r="B41" s="158" t="s">
        <v>11</v>
      </c>
      <c r="C41" s="324">
        <v>4.4446777815682363</v>
      </c>
      <c r="D41" s="324">
        <v>4.6395523190798142</v>
      </c>
      <c r="E41" s="324">
        <v>2.5144178643908779</v>
      </c>
      <c r="F41" s="324">
        <v>2.3429165411479165</v>
      </c>
      <c r="G41" s="324">
        <v>2.2803716730269943</v>
      </c>
      <c r="H41" s="324">
        <v>2.3522630543185308</v>
      </c>
      <c r="I41" s="324">
        <v>2.4755123893158406</v>
      </c>
      <c r="J41" s="324">
        <v>2.4316658747953497</v>
      </c>
      <c r="K41" s="324">
        <v>2.4094067778285688</v>
      </c>
      <c r="L41" s="324">
        <v>2.3903119730125555</v>
      </c>
      <c r="M41" s="324">
        <v>2.4371354855538763</v>
      </c>
      <c r="N41" s="324">
        <v>2.4734167417868451</v>
      </c>
      <c r="O41" s="324">
        <v>2.6636474213233901</v>
      </c>
      <c r="P41" s="324">
        <v>2.8394505315437053</v>
      </c>
      <c r="Q41" s="92"/>
      <c r="R41" s="92"/>
      <c r="S41" s="134"/>
      <c r="U41" s="153"/>
      <c r="AC41" s="134"/>
      <c r="AH41" s="90"/>
    </row>
    <row r="42" spans="1:34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2"/>
      <c r="Q42" s="92"/>
      <c r="R42" s="102"/>
      <c r="AB42" s="102"/>
    </row>
    <row r="43" spans="1:34" x14ac:dyDescent="0.25">
      <c r="A43" s="99"/>
      <c r="B43" s="159" t="s">
        <v>39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92"/>
      <c r="Q43" s="92"/>
      <c r="R43" s="145"/>
      <c r="AB43" s="102"/>
    </row>
    <row r="44" spans="1:34" x14ac:dyDescent="0.25">
      <c r="A44" s="99"/>
      <c r="B44" s="159" t="s">
        <v>92</v>
      </c>
      <c r="C44" s="17"/>
      <c r="D44" s="17"/>
      <c r="E44" s="17"/>
      <c r="F44" s="17"/>
      <c r="G44" s="17"/>
      <c r="H44" s="236"/>
      <c r="I44" s="160"/>
      <c r="J44" s="160"/>
      <c r="K44" s="160"/>
      <c r="L44" s="160"/>
      <c r="M44" s="160"/>
      <c r="N44" s="160"/>
      <c r="O44" s="160"/>
      <c r="P44" s="92"/>
      <c r="Q44" s="92"/>
      <c r="R44" s="145"/>
      <c r="S44" s="161"/>
      <c r="T44" s="161"/>
      <c r="U44" s="161"/>
      <c r="V44" s="161"/>
      <c r="W44" s="161"/>
      <c r="X44" s="161"/>
      <c r="Y44" s="161"/>
      <c r="Z44" s="161"/>
      <c r="AA44" s="161"/>
      <c r="AB44" s="102"/>
    </row>
    <row r="45" spans="1:34" ht="12.75" customHeight="1" x14ac:dyDescent="0.25">
      <c r="A45" s="99"/>
      <c r="B45" s="17" t="s">
        <v>91</v>
      </c>
      <c r="C45" s="159"/>
      <c r="D45" s="159"/>
      <c r="E45" s="159"/>
      <c r="F45" s="159"/>
      <c r="G45" s="159"/>
      <c r="H45" s="236"/>
      <c r="I45" s="160"/>
      <c r="J45" s="160"/>
      <c r="K45" s="160"/>
      <c r="L45" s="160"/>
      <c r="M45" s="160"/>
      <c r="N45" s="160"/>
      <c r="O45" s="160"/>
      <c r="P45" s="92"/>
      <c r="Q45" s="92"/>
      <c r="R45" s="147"/>
    </row>
    <row r="46" spans="1:34" ht="12.75" customHeight="1" x14ac:dyDescent="0.25">
      <c r="A46" s="99"/>
      <c r="B46" s="159" t="s">
        <v>90</v>
      </c>
      <c r="C46" s="269"/>
      <c r="D46" s="269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92"/>
      <c r="Q46" s="92"/>
      <c r="R46" s="147"/>
      <c r="S46" s="162"/>
    </row>
    <row r="47" spans="1:34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S47" s="161"/>
    </row>
    <row r="48" spans="1:34" x14ac:dyDescent="0.25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3"/>
      <c r="AB48" s="120"/>
      <c r="AC48" s="120"/>
      <c r="AD48" s="120"/>
      <c r="AE48" s="120"/>
      <c r="AF48" s="120"/>
    </row>
    <row r="49" spans="2:32" x14ac:dyDescent="0.25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P49" s="164"/>
      <c r="Q49" s="165"/>
      <c r="S49" s="161"/>
      <c r="AD49" s="120"/>
      <c r="AE49" s="120"/>
    </row>
    <row r="50" spans="2:32" x14ac:dyDescent="0.25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3"/>
      <c r="R50" s="161"/>
      <c r="S50" s="161"/>
    </row>
    <row r="51" spans="2:32" x14ac:dyDescent="0.25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P51" s="164"/>
      <c r="Q51" s="165"/>
      <c r="AB51" s="153"/>
      <c r="AC51" s="153"/>
      <c r="AD51" s="153"/>
      <c r="AE51" s="153"/>
      <c r="AF51" s="153"/>
    </row>
    <row r="52" spans="2:32" x14ac:dyDescent="0.25">
      <c r="K52" s="164"/>
      <c r="L52" s="164"/>
      <c r="M52" s="164"/>
      <c r="N52" s="164"/>
      <c r="O52" s="164"/>
      <c r="P52" s="164"/>
      <c r="Q52" s="163"/>
      <c r="AB52" s="120"/>
      <c r="AD52" s="120"/>
      <c r="AE52" s="120"/>
    </row>
    <row r="53" spans="2:32" x14ac:dyDescent="0.25">
      <c r="B53" s="163" t="s">
        <v>59</v>
      </c>
      <c r="C53" s="163"/>
      <c r="D53" s="163"/>
      <c r="E53" s="163"/>
      <c r="F53" s="163"/>
      <c r="G53" s="163"/>
      <c r="H53" s="163"/>
      <c r="I53" s="163"/>
      <c r="J53" s="163"/>
      <c r="K53" s="164"/>
      <c r="L53" s="164"/>
      <c r="M53" s="164"/>
      <c r="N53" s="164"/>
      <c r="P53" s="164"/>
      <c r="Q53" s="165"/>
    </row>
    <row r="54" spans="2:32" x14ac:dyDescent="0.25">
      <c r="B54" s="166"/>
      <c r="C54" s="166"/>
      <c r="D54" s="166"/>
      <c r="E54" s="166"/>
      <c r="F54" s="166"/>
      <c r="G54" s="166"/>
      <c r="H54" s="166"/>
      <c r="I54" s="166"/>
      <c r="J54" s="166"/>
      <c r="K54" s="164"/>
      <c r="L54" s="164"/>
      <c r="M54" s="164"/>
      <c r="N54" s="164"/>
      <c r="O54" s="164"/>
      <c r="P54" s="164"/>
      <c r="Q54" s="163"/>
    </row>
    <row r="55" spans="2:32" x14ac:dyDescent="0.25"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</row>
    <row r="56" spans="2:32" x14ac:dyDescent="0.25"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7"/>
      <c r="AD56" s="120"/>
      <c r="AE56" s="120"/>
    </row>
    <row r="57" spans="2:32" x14ac:dyDescent="0.25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</row>
    <row r="58" spans="2:32" x14ac:dyDescent="0.25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</row>
    <row r="59" spans="2:32" x14ac:dyDescent="0.25"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7"/>
      <c r="R59" s="162"/>
    </row>
    <row r="60" spans="2:32" x14ac:dyDescent="0.25"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</row>
    <row r="61" spans="2:32" x14ac:dyDescent="0.25"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</row>
    <row r="62" spans="2:32" x14ac:dyDescent="0.25"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</row>
    <row r="63" spans="2:32" x14ac:dyDescent="0.25"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</row>
    <row r="64" spans="2:32" x14ac:dyDescent="0.25"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S64" s="169"/>
      <c r="U64" s="169"/>
      <c r="V64" s="170"/>
      <c r="W64" s="169"/>
      <c r="X64" s="170"/>
    </row>
    <row r="65" spans="2:28" ht="13.8" x14ac:dyDescent="0.3"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S65" s="171"/>
      <c r="T65" s="171"/>
      <c r="U65" s="171"/>
      <c r="V65" s="171"/>
      <c r="W65" s="171"/>
      <c r="X65" s="171"/>
      <c r="AB65" s="161"/>
    </row>
    <row r="66" spans="2:28" x14ac:dyDescent="0.25"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S66" s="153"/>
      <c r="T66" s="153"/>
      <c r="U66" s="153"/>
      <c r="V66" s="153"/>
      <c r="W66" s="153"/>
      <c r="X66" s="153"/>
      <c r="Y66" s="153"/>
    </row>
    <row r="67" spans="2:28" x14ac:dyDescent="0.25"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</row>
    <row r="68" spans="2:28" x14ac:dyDescent="0.25"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</row>
    <row r="69" spans="2:28" x14ac:dyDescent="0.25"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</row>
    <row r="70" spans="2:28" x14ac:dyDescent="0.25"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</row>
    <row r="71" spans="2:28" x14ac:dyDescent="0.25"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</row>
    <row r="72" spans="2:28" x14ac:dyDescent="0.25"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</row>
    <row r="73" spans="2:28" x14ac:dyDescent="0.25"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S73" s="172"/>
      <c r="T73" s="153"/>
      <c r="U73" s="153"/>
      <c r="V73" s="153"/>
      <c r="W73" s="153"/>
      <c r="X73" s="153"/>
      <c r="Y73" s="153"/>
      <c r="Z73" s="153"/>
      <c r="AA73" s="153"/>
    </row>
    <row r="74" spans="2:28" x14ac:dyDescent="0.25"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</row>
    <row r="75" spans="2:28" x14ac:dyDescent="0.25"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</row>
    <row r="76" spans="2:28" x14ac:dyDescent="0.25"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S76" s="173"/>
      <c r="T76" s="161"/>
      <c r="U76" s="161"/>
    </row>
    <row r="77" spans="2:28" x14ac:dyDescent="0.25"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</row>
    <row r="78" spans="2:28" x14ac:dyDescent="0.25"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</row>
    <row r="79" spans="2:28" x14ac:dyDescent="0.25"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</row>
    <row r="80" spans="2:28" x14ac:dyDescent="0.25"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</row>
    <row r="81" spans="2:28" x14ac:dyDescent="0.25"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</row>
    <row r="82" spans="2:28" x14ac:dyDescent="0.25"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S82" s="161"/>
      <c r="T82" s="161"/>
    </row>
    <row r="83" spans="2:28" x14ac:dyDescent="0.25"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</row>
    <row r="84" spans="2:28" x14ac:dyDescent="0.25"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</row>
    <row r="85" spans="2:28" x14ac:dyDescent="0.25"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S85" s="174"/>
      <c r="T85" s="174"/>
    </row>
    <row r="86" spans="2:28" x14ac:dyDescent="0.25"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2:28" x14ac:dyDescent="0.25"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S87" s="161"/>
      <c r="T87" s="161"/>
    </row>
    <row r="88" spans="2:28" x14ac:dyDescent="0.25"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</row>
    <row r="89" spans="2:28" x14ac:dyDescent="0.25"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</row>
    <row r="90" spans="2:28" x14ac:dyDescent="0.25"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</row>
    <row r="91" spans="2:28" x14ac:dyDescent="0.25"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</row>
    <row r="92" spans="2:28" x14ac:dyDescent="0.25"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</row>
    <row r="93" spans="2:28" x14ac:dyDescent="0.25"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</row>
    <row r="94" spans="2:28" x14ac:dyDescent="0.25"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AB94" s="153"/>
    </row>
    <row r="95" spans="2:28" x14ac:dyDescent="0.25"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</row>
    <row r="96" spans="2:28" x14ac:dyDescent="0.25"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</row>
    <row r="97" spans="2:16" x14ac:dyDescent="0.25"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</row>
    <row r="98" spans="2:16" x14ac:dyDescent="0.25"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</row>
    <row r="99" spans="2:16" x14ac:dyDescent="0.25"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</row>
    <row r="100" spans="2:16" x14ac:dyDescent="0.25"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</row>
    <row r="101" spans="2:16" x14ac:dyDescent="0.25"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</row>
    <row r="102" spans="2:16" x14ac:dyDescent="0.25"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</row>
    <row r="103" spans="2:16" x14ac:dyDescent="0.25"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</row>
    <row r="104" spans="2:16" x14ac:dyDescent="0.25"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</row>
    <row r="105" spans="2:16" x14ac:dyDescent="0.25"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</row>
    <row r="106" spans="2:16" x14ac:dyDescent="0.25"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</row>
    <row r="107" spans="2:16" x14ac:dyDescent="0.25"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</row>
    <row r="108" spans="2:16" x14ac:dyDescent="0.25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</row>
    <row r="109" spans="2:16" x14ac:dyDescent="0.25"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</row>
    <row r="110" spans="2:16" x14ac:dyDescent="0.25"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</row>
    <row r="111" spans="2:16" x14ac:dyDescent="0.25"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</row>
    <row r="112" spans="2:16" x14ac:dyDescent="0.25"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</row>
    <row r="113" spans="2:16" x14ac:dyDescent="0.25"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</row>
    <row r="114" spans="2:16" x14ac:dyDescent="0.25"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</row>
    <row r="115" spans="2:16" x14ac:dyDescent="0.25"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</row>
    <row r="116" spans="2:16" x14ac:dyDescent="0.25"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</row>
    <row r="117" spans="2:16" x14ac:dyDescent="0.25"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</row>
    <row r="118" spans="2:16" x14ac:dyDescent="0.25"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</row>
    <row r="119" spans="2:16" x14ac:dyDescent="0.25"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</row>
    <row r="120" spans="2:16" x14ac:dyDescent="0.25"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</row>
    <row r="121" spans="2:16" x14ac:dyDescent="0.25"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</row>
    <row r="122" spans="2:16" x14ac:dyDescent="0.25"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</row>
    <row r="123" spans="2:16" x14ac:dyDescent="0.25"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</row>
    <row r="124" spans="2:16" x14ac:dyDescent="0.25"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</row>
    <row r="125" spans="2:16" x14ac:dyDescent="0.25"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</row>
    <row r="126" spans="2:16" x14ac:dyDescent="0.25"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</row>
    <row r="127" spans="2:16" x14ac:dyDescent="0.25"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</row>
    <row r="128" spans="2:16" x14ac:dyDescent="0.25"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</row>
    <row r="129" spans="2:16" x14ac:dyDescent="0.25"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</row>
    <row r="130" spans="2:16" x14ac:dyDescent="0.25"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</row>
    <row r="131" spans="2:16" x14ac:dyDescent="0.25"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</row>
    <row r="132" spans="2:16" x14ac:dyDescent="0.25"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</row>
    <row r="133" spans="2:16" x14ac:dyDescent="0.25"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</row>
    <row r="134" spans="2:16" x14ac:dyDescent="0.25"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</row>
    <row r="135" spans="2:16" x14ac:dyDescent="0.25"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</row>
  </sheetData>
  <printOptions verticalCentered="1"/>
  <pageMargins left="0.37" right="0.44" top="0.27559055118110237" bottom="0.47244094488188981" header="0.51181102362204722" footer="0.51181102362204722"/>
  <pageSetup paperSize="9" scale="56" orientation="landscape" horizontalDpi="4294967292" r:id="rId1"/>
  <headerFooter alignWithMargins="0">
    <oddHeader>&amp;A</oddHeader>
    <oddFooter>&amp;L&amp;BAS Oslo SporveierKonfidensielt&amp;B&amp;C&amp;D&amp;RSide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AF124"/>
  <sheetViews>
    <sheetView zoomScaleNormal="100" workbookViewId="0">
      <selection activeCell="C28" sqref="C28"/>
    </sheetView>
  </sheetViews>
  <sheetFormatPr baseColWidth="10" defaultColWidth="9.109375" defaultRowHeight="13.2" x14ac:dyDescent="0.25"/>
  <cols>
    <col min="1" max="1" width="11.44140625" style="87" customWidth="1"/>
    <col min="2" max="2" width="41" style="87" customWidth="1"/>
    <col min="3" max="3" width="14.88671875" style="87" customWidth="1"/>
    <col min="4" max="4" width="16.109375" style="87" customWidth="1"/>
    <col min="5" max="5" width="14.6640625" style="87" customWidth="1"/>
    <col min="6" max="6" width="15.33203125" style="87" customWidth="1"/>
    <col min="7" max="7" width="16.44140625" style="87" customWidth="1"/>
    <col min="8" max="8" width="15.5546875" style="87" customWidth="1"/>
    <col min="9" max="9" width="15.88671875" style="87" customWidth="1"/>
    <col min="10" max="15" width="14.109375" style="87" customWidth="1"/>
    <col min="16" max="16" width="14" style="90" customWidth="1"/>
    <col min="17" max="17" width="10.6640625" style="90" customWidth="1"/>
    <col min="18" max="18" width="11" style="90" customWidth="1"/>
    <col min="19" max="19" width="2.88671875" style="90" customWidth="1"/>
    <col min="20" max="22" width="10.6640625" style="90" customWidth="1"/>
    <col min="23" max="23" width="2.44140625" style="90" customWidth="1"/>
    <col min="24" max="26" width="10.6640625" style="90" customWidth="1"/>
    <col min="27" max="27" width="9.109375" style="90" customWidth="1"/>
    <col min="28" max="28" width="19.109375" style="90" customWidth="1"/>
    <col min="29" max="29" width="12.109375" style="90" customWidth="1"/>
    <col min="30" max="31" width="9.109375" style="90"/>
    <col min="32" max="16384" width="9.109375" style="87"/>
  </cols>
  <sheetData>
    <row r="1" spans="1:32" ht="18" x14ac:dyDescent="0.3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89"/>
      <c r="R1" s="89"/>
      <c r="S1" s="89"/>
      <c r="T1" s="89"/>
      <c r="U1" s="89"/>
      <c r="V1" s="89"/>
    </row>
    <row r="2" spans="1:32" x14ac:dyDescent="0.25">
      <c r="B2" s="91"/>
      <c r="C2" s="91"/>
      <c r="D2" s="91"/>
      <c r="E2" s="91"/>
      <c r="F2" s="91"/>
      <c r="G2" s="91"/>
      <c r="H2" s="91"/>
      <c r="I2" s="91"/>
      <c r="J2" s="91"/>
      <c r="K2" s="92"/>
      <c r="L2" s="93"/>
      <c r="M2" s="94"/>
      <c r="N2" s="92"/>
      <c r="O2" s="92"/>
      <c r="P2" s="95"/>
      <c r="Q2" s="95"/>
      <c r="R2" s="95"/>
      <c r="S2" s="95"/>
      <c r="T2" s="96"/>
      <c r="U2" s="95"/>
      <c r="V2" s="95"/>
      <c r="X2" s="96"/>
      <c r="Y2" s="95"/>
      <c r="Z2" s="95"/>
    </row>
    <row r="3" spans="1:32" x14ac:dyDescent="0.25">
      <c r="B3" s="92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95"/>
      <c r="Q3" s="98"/>
      <c r="R3" s="98"/>
      <c r="S3" s="95"/>
      <c r="T3" s="98"/>
      <c r="U3" s="98"/>
      <c r="V3" s="98"/>
      <c r="W3" s="98"/>
      <c r="X3" s="98"/>
      <c r="Y3" s="98"/>
      <c r="Z3" s="98"/>
    </row>
    <row r="4" spans="1:32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5"/>
    </row>
    <row r="5" spans="1:32" x14ac:dyDescent="0.25">
      <c r="A5" s="99"/>
      <c r="B5" s="99"/>
      <c r="C5" s="99"/>
      <c r="D5" s="99"/>
      <c r="E5" s="101"/>
      <c r="F5" s="99"/>
      <c r="G5" s="99"/>
      <c r="H5" s="99"/>
      <c r="I5" s="99"/>
      <c r="J5" s="99"/>
      <c r="K5" s="99"/>
      <c r="L5" s="99"/>
      <c r="M5" s="99"/>
      <c r="N5" s="99"/>
      <c r="O5" s="99"/>
      <c r="P5" s="95"/>
      <c r="Q5" s="100"/>
      <c r="R5" s="100"/>
    </row>
    <row r="6" spans="1:32" x14ac:dyDescent="0.25">
      <c r="A6" s="99"/>
      <c r="B6" s="99"/>
      <c r="C6" s="52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5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32" x14ac:dyDescent="0.25">
      <c r="A7" s="99"/>
      <c r="B7" s="103" t="s">
        <v>51</v>
      </c>
      <c r="C7" s="103"/>
      <c r="D7" s="103"/>
      <c r="E7" s="103"/>
      <c r="F7" s="103"/>
      <c r="G7" s="103"/>
      <c r="H7" s="103"/>
      <c r="I7" s="103"/>
      <c r="J7" s="103"/>
      <c r="K7" s="99"/>
      <c r="L7" s="99"/>
      <c r="M7" s="99"/>
      <c r="N7" s="99"/>
      <c r="O7" s="99"/>
      <c r="P7" s="104"/>
      <c r="Q7" s="104"/>
      <c r="R7" s="102"/>
      <c r="S7" s="104"/>
      <c r="T7" s="105"/>
      <c r="U7" s="104"/>
      <c r="V7" s="105"/>
      <c r="W7" s="102"/>
      <c r="X7" s="102"/>
      <c r="Y7" s="104"/>
      <c r="Z7" s="102"/>
    </row>
    <row r="8" spans="1:32" s="111" customFormat="1" ht="13.8" x14ac:dyDescent="0.3">
      <c r="A8" s="106"/>
      <c r="B8" s="106"/>
      <c r="C8" s="107">
        <v>2021</v>
      </c>
      <c r="D8" s="107">
        <v>2020</v>
      </c>
      <c r="E8" s="107">
        <v>2019</v>
      </c>
      <c r="F8" s="107">
        <v>2018</v>
      </c>
      <c r="G8" s="107">
        <v>2017</v>
      </c>
      <c r="H8" s="107">
        <v>2016</v>
      </c>
      <c r="I8" s="107">
        <v>2015</v>
      </c>
      <c r="J8" s="107">
        <v>2014</v>
      </c>
      <c r="K8" s="107">
        <v>2013</v>
      </c>
      <c r="L8" s="107">
        <v>2012</v>
      </c>
      <c r="M8" s="107">
        <v>2011</v>
      </c>
      <c r="N8" s="107">
        <v>2010</v>
      </c>
      <c r="O8" s="107">
        <v>2009</v>
      </c>
      <c r="P8" s="108">
        <v>2008</v>
      </c>
      <c r="Q8" s="104"/>
      <c r="R8" s="104"/>
      <c r="S8" s="102"/>
      <c r="T8" s="104"/>
      <c r="U8" s="105"/>
      <c r="V8" s="104"/>
      <c r="W8" s="105"/>
      <c r="X8" s="102"/>
      <c r="Y8" s="102"/>
      <c r="Z8" s="104"/>
      <c r="AA8" s="109"/>
      <c r="AB8" s="110"/>
      <c r="AC8" s="90"/>
      <c r="AD8" s="90"/>
      <c r="AE8" s="90"/>
      <c r="AF8" s="90"/>
    </row>
    <row r="9" spans="1:32" s="111" customFormat="1" x14ac:dyDescent="0.25">
      <c r="A9" s="106"/>
      <c r="B9" s="112" t="s">
        <v>13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104"/>
      <c r="R9" s="104"/>
      <c r="S9" s="102"/>
      <c r="T9" s="104"/>
      <c r="U9" s="105"/>
      <c r="V9" s="104"/>
      <c r="W9" s="105"/>
      <c r="X9" s="102"/>
      <c r="Y9" s="102"/>
      <c r="Z9" s="104"/>
      <c r="AA9" s="114"/>
      <c r="AB9" s="110"/>
      <c r="AC9" s="90"/>
      <c r="AD9" s="90"/>
      <c r="AE9" s="90"/>
      <c r="AF9" s="90"/>
    </row>
    <row r="10" spans="1:32" s="111" customFormat="1" x14ac:dyDescent="0.25">
      <c r="A10" s="106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04"/>
      <c r="R10" s="104"/>
      <c r="S10" s="102"/>
      <c r="T10" s="104"/>
      <c r="U10" s="105"/>
      <c r="V10" s="104"/>
      <c r="W10" s="105"/>
      <c r="X10" s="102"/>
      <c r="Y10" s="102"/>
      <c r="Z10" s="104"/>
      <c r="AA10" s="114"/>
      <c r="AB10" s="110"/>
      <c r="AC10" s="90"/>
      <c r="AD10" s="90"/>
      <c r="AE10" s="90"/>
      <c r="AF10" s="90"/>
    </row>
    <row r="11" spans="1:32" x14ac:dyDescent="0.25">
      <c r="A11" s="99"/>
      <c r="B11" s="117" t="s">
        <v>23</v>
      </c>
      <c r="C11" s="296">
        <v>75.160743417048621</v>
      </c>
      <c r="D11" s="296">
        <v>75.620209249875302</v>
      </c>
      <c r="E11" s="132">
        <v>115.434398325647</v>
      </c>
      <c r="F11" s="132">
        <v>105.85976434032813</v>
      </c>
      <c r="G11" s="132">
        <v>99.43506008259223</v>
      </c>
      <c r="H11" s="248">
        <v>93.10898200882464</v>
      </c>
      <c r="I11" s="69">
        <v>91.656497174971761</v>
      </c>
      <c r="J11" s="132">
        <v>90.858601727469548</v>
      </c>
      <c r="K11" s="132">
        <v>87.957213964594956</v>
      </c>
      <c r="L11" s="118">
        <v>86.021123508203317</v>
      </c>
      <c r="M11" s="118">
        <v>83.128305795796635</v>
      </c>
      <c r="N11" s="118">
        <v>80.719459586514347</v>
      </c>
      <c r="O11" s="119">
        <v>74.16265452973866</v>
      </c>
      <c r="P11" s="178">
        <v>68.66720090311847</v>
      </c>
      <c r="Q11" s="104"/>
      <c r="R11" s="104"/>
      <c r="S11" s="102"/>
      <c r="T11" s="104"/>
      <c r="U11" s="105"/>
      <c r="V11" s="104"/>
      <c r="W11" s="105"/>
      <c r="X11" s="102"/>
      <c r="Y11" s="102"/>
      <c r="Z11" s="104"/>
      <c r="AA11" s="102"/>
      <c r="AD11" s="120"/>
      <c r="AE11" s="120"/>
      <c r="AF11" s="120"/>
    </row>
    <row r="12" spans="1:32" x14ac:dyDescent="0.25">
      <c r="A12" s="99"/>
      <c r="B12" s="117" t="s">
        <v>33</v>
      </c>
      <c r="C12" s="55">
        <v>263.06260195967019</v>
      </c>
      <c r="D12" s="55">
        <f>D11*3.4</f>
        <v>257.10871144957599</v>
      </c>
      <c r="E12" s="55">
        <f t="shared" ref="E12:J12" si="0">E11*4.8</f>
        <v>554.08511196310553</v>
      </c>
      <c r="F12" s="55">
        <f t="shared" si="0"/>
        <v>508.12686883357497</v>
      </c>
      <c r="G12" s="55">
        <f t="shared" si="0"/>
        <v>477.28828839644268</v>
      </c>
      <c r="H12" s="55">
        <f t="shared" si="0"/>
        <v>446.92311364235826</v>
      </c>
      <c r="I12" s="59">
        <f t="shared" si="0"/>
        <v>439.95118643986444</v>
      </c>
      <c r="J12" s="55">
        <f t="shared" si="0"/>
        <v>436.12128829185383</v>
      </c>
      <c r="K12" s="132">
        <v>422.19462703005576</v>
      </c>
      <c r="L12" s="119">
        <v>412.90139283937589</v>
      </c>
      <c r="M12" s="119">
        <v>399.01586781982382</v>
      </c>
      <c r="N12" s="119">
        <v>387.45340601526885</v>
      </c>
      <c r="O12" s="119">
        <v>355.98074174274558</v>
      </c>
      <c r="P12" s="130">
        <v>329.60256433496863</v>
      </c>
      <c r="Q12" s="104"/>
      <c r="R12" s="104"/>
      <c r="S12" s="102"/>
      <c r="T12" s="104"/>
      <c r="U12" s="105"/>
      <c r="V12" s="104"/>
      <c r="W12" s="105"/>
      <c r="X12" s="102"/>
      <c r="Y12" s="102"/>
      <c r="Z12" s="104"/>
      <c r="AA12" s="121"/>
      <c r="AF12" s="90"/>
    </row>
    <row r="13" spans="1:32" x14ac:dyDescent="0.25">
      <c r="A13" s="99"/>
      <c r="B13" s="122" t="s">
        <v>17</v>
      </c>
      <c r="C13" s="185">
        <v>27.398922261595455</v>
      </c>
      <c r="D13" s="185">
        <v>26.5669118197433</v>
      </c>
      <c r="E13" s="185">
        <v>26.908304308256298</v>
      </c>
      <c r="F13" s="185">
        <v>25.122012690400002</v>
      </c>
      <c r="G13" s="185">
        <v>23.3711165343</v>
      </c>
      <c r="H13" s="124">
        <v>22.392476161400001</v>
      </c>
      <c r="I13" s="49">
        <f>22092344.2785/1000000+1122112/1000000</f>
        <v>23.214456278499998</v>
      </c>
      <c r="J13" s="185">
        <v>20.963743356334</v>
      </c>
      <c r="K13" s="185">
        <v>21.599399462000001</v>
      </c>
      <c r="L13" s="124">
        <v>21.005444112999999</v>
      </c>
      <c r="M13" s="123">
        <v>20.514917593</v>
      </c>
      <c r="N13" s="123">
        <v>21.440181276000001</v>
      </c>
      <c r="O13" s="124">
        <v>20.873345</v>
      </c>
      <c r="P13" s="179">
        <v>20.500610268999999</v>
      </c>
      <c r="Q13" s="104"/>
      <c r="R13" s="104"/>
      <c r="S13" s="102"/>
      <c r="T13" s="104"/>
      <c r="U13" s="105"/>
      <c r="V13" s="104"/>
      <c r="W13" s="105"/>
      <c r="X13" s="102"/>
      <c r="Y13" s="102"/>
      <c r="Z13" s="104"/>
      <c r="AA13" s="126"/>
      <c r="AF13" s="90"/>
    </row>
    <row r="14" spans="1:32" x14ac:dyDescent="0.25">
      <c r="A14" s="99"/>
      <c r="B14" s="117" t="s">
        <v>24</v>
      </c>
      <c r="C14" s="132">
        <v>1967.1453658093697</v>
      </c>
      <c r="D14" s="132">
        <v>1913.033552499599</v>
      </c>
      <c r="E14" s="132">
        <v>1889.5059412227399</v>
      </c>
      <c r="F14" s="132">
        <v>1786.6561480508399</v>
      </c>
      <c r="G14" s="132">
        <v>1670.30968114503</v>
      </c>
      <c r="H14" s="118">
        <v>1555.33806606136</v>
      </c>
      <c r="I14" s="61">
        <f>1541209103.51783/1000000+98946298/1000000</f>
        <v>1640.1554015178299</v>
      </c>
      <c r="J14" s="118">
        <v>1398.0424931032201</v>
      </c>
      <c r="K14" s="132">
        <v>1454.9992744326901</v>
      </c>
      <c r="L14" s="118">
        <v>1370.6247915773499</v>
      </c>
      <c r="M14" s="118">
        <v>1277.5055448067201</v>
      </c>
      <c r="N14" s="132">
        <v>1318.3330605655401</v>
      </c>
      <c r="O14" s="180">
        <v>1285.5203989104</v>
      </c>
      <c r="P14" s="130">
        <v>1277.2229123980801</v>
      </c>
      <c r="Q14" s="104"/>
      <c r="R14" s="104"/>
      <c r="S14" s="102"/>
      <c r="T14" s="104"/>
      <c r="U14" s="105"/>
      <c r="V14" s="104"/>
      <c r="W14" s="105"/>
      <c r="X14" s="102"/>
      <c r="Y14" s="102"/>
      <c r="Z14" s="104"/>
      <c r="AA14" s="121"/>
      <c r="AF14" s="90"/>
    </row>
    <row r="15" spans="1:32" x14ac:dyDescent="0.25">
      <c r="A15" s="99"/>
      <c r="B15" s="117" t="s">
        <v>1</v>
      </c>
      <c r="C15" s="272">
        <f t="shared" ref="C15:J15" si="1">C12/C14</f>
        <v>0.13372809479762809</v>
      </c>
      <c r="D15" s="272">
        <f t="shared" si="1"/>
        <v>0.13439843285217545</v>
      </c>
      <c r="E15" s="272">
        <f t="shared" si="1"/>
        <v>0.29324338170884245</v>
      </c>
      <c r="F15" s="272">
        <f t="shared" si="1"/>
        <v>0.28440104123444132</v>
      </c>
      <c r="G15" s="272">
        <f t="shared" si="1"/>
        <v>0.28574838174275097</v>
      </c>
      <c r="H15" s="128">
        <f t="shared" si="1"/>
        <v>0.28734789136494177</v>
      </c>
      <c r="I15" s="181">
        <f t="shared" si="1"/>
        <v>0.26823750117380679</v>
      </c>
      <c r="J15" s="128">
        <f t="shared" si="1"/>
        <v>0.31195138233874425</v>
      </c>
      <c r="K15" s="175">
        <v>0.29016827324169703</v>
      </c>
      <c r="L15" s="181">
        <v>0.30125049202137838</v>
      </c>
      <c r="M15" s="127">
        <v>0.31233983245074121</v>
      </c>
      <c r="N15" s="127">
        <v>0.29389644969463075</v>
      </c>
      <c r="O15" s="127">
        <v>0.27691566936197426</v>
      </c>
      <c r="P15" s="127">
        <v>0.25806189439251098</v>
      </c>
      <c r="Q15" s="104"/>
      <c r="R15" s="104"/>
      <c r="S15" s="102"/>
      <c r="T15" s="104"/>
      <c r="U15" s="105"/>
      <c r="V15" s="104"/>
      <c r="W15" s="105"/>
      <c r="X15" s="102"/>
      <c r="Y15" s="102"/>
      <c r="Z15" s="104"/>
      <c r="AA15" s="129"/>
      <c r="AF15" s="90"/>
    </row>
    <row r="16" spans="1:32" x14ac:dyDescent="0.25">
      <c r="A16" s="99"/>
      <c r="B16" s="117" t="s">
        <v>18</v>
      </c>
      <c r="C16" s="132">
        <v>2292.2243902439022</v>
      </c>
      <c r="D16" s="132">
        <v>2342.8760000000002</v>
      </c>
      <c r="E16" s="132">
        <v>2360.17</v>
      </c>
      <c r="F16" s="132">
        <v>2159.5630000000001</v>
      </c>
      <c r="G16" s="132">
        <v>1966.0050000000001</v>
      </c>
      <c r="H16" s="61">
        <f>1819.888+22.135</f>
        <v>1842.0229999999999</v>
      </c>
      <c r="I16" s="61">
        <f>1784342/1000+152123/1000</f>
        <v>1936.4650000000001</v>
      </c>
      <c r="J16" s="132">
        <v>1729.319</v>
      </c>
      <c r="K16" s="132">
        <v>1809.873</v>
      </c>
      <c r="L16" s="118">
        <v>1716.1110000000001</v>
      </c>
      <c r="M16" s="132">
        <v>1753.7529999999999</v>
      </c>
      <c r="N16" s="132">
        <v>1784.511</v>
      </c>
      <c r="O16" s="118">
        <v>1722.2550000000001</v>
      </c>
      <c r="P16" s="130">
        <v>1703.1279999999999</v>
      </c>
      <c r="Q16" s="104"/>
      <c r="R16" s="104"/>
      <c r="S16" s="102"/>
      <c r="T16" s="104"/>
      <c r="U16" s="105"/>
      <c r="V16" s="104"/>
      <c r="W16" s="105"/>
      <c r="X16" s="102"/>
      <c r="Y16" s="102"/>
      <c r="Z16" s="104"/>
      <c r="AA16" s="102"/>
      <c r="AF16" s="90"/>
    </row>
    <row r="17" spans="1:32" x14ac:dyDescent="0.25">
      <c r="A17" s="99"/>
      <c r="B17" s="117" t="s">
        <v>57</v>
      </c>
      <c r="C17" s="132">
        <v>1247.5683666667774</v>
      </c>
      <c r="D17" s="132">
        <v>1200.3649599504661</v>
      </c>
      <c r="E17" s="132">
        <v>1220.5882196203299</v>
      </c>
      <c r="F17" s="132">
        <v>1131.0553033333299</v>
      </c>
      <c r="G17" s="132">
        <v>1038.0787496666601</v>
      </c>
      <c r="H17" s="69">
        <f>983.883333331+4.5674</f>
        <v>988.45073333100004</v>
      </c>
      <c r="I17" s="61">
        <f>971649.523611109/1000+38486/1000</f>
        <v>1010.135523611109</v>
      </c>
      <c r="J17" s="132">
        <v>916.79199121606996</v>
      </c>
      <c r="K17" s="132">
        <v>1324.1173799999999</v>
      </c>
      <c r="L17" s="118">
        <v>1253.7284400000001</v>
      </c>
      <c r="M17" s="132">
        <v>1251.27208333</v>
      </c>
      <c r="N17" s="132">
        <v>1283.3970899999999</v>
      </c>
      <c r="O17" s="118">
        <v>1246.204</v>
      </c>
      <c r="P17" s="130">
        <v>1222.7671</v>
      </c>
      <c r="Q17" s="104"/>
      <c r="R17" s="134"/>
      <c r="S17" s="134"/>
      <c r="T17" s="134"/>
      <c r="U17" s="134"/>
      <c r="V17" s="134"/>
      <c r="W17" s="134"/>
      <c r="X17" s="102"/>
      <c r="Y17" s="134"/>
      <c r="Z17" s="134"/>
      <c r="AA17" s="102"/>
      <c r="AF17" s="90"/>
    </row>
    <row r="18" spans="1:32" x14ac:dyDescent="0.25">
      <c r="A18" s="99"/>
      <c r="B18" s="117" t="s">
        <v>58</v>
      </c>
      <c r="C18" s="123">
        <v>21.961860362650285</v>
      </c>
      <c r="D18" s="123">
        <v>22.132361995004896</v>
      </c>
      <c r="E18" s="123">
        <v>22.045358029611542</v>
      </c>
      <c r="F18" s="123">
        <v>22.211126738332766</v>
      </c>
      <c r="G18" s="123">
        <v>22.513818476492997</v>
      </c>
      <c r="H18" s="247">
        <v>22.654114571739093</v>
      </c>
      <c r="I18" s="49">
        <v>22.981526474300399</v>
      </c>
      <c r="J18" s="123">
        <v>22.866411963881628</v>
      </c>
      <c r="K18" s="123">
        <v>24.606264337574277</v>
      </c>
      <c r="L18" s="124">
        <v>25.247313987344857</v>
      </c>
      <c r="M18" s="124">
        <v>25.3</v>
      </c>
      <c r="N18" s="135">
        <v>24.6</v>
      </c>
      <c r="O18" s="124">
        <v>25</v>
      </c>
      <c r="P18" s="125">
        <v>25</v>
      </c>
      <c r="Q18" s="104"/>
      <c r="R18" s="134"/>
      <c r="S18" s="134"/>
      <c r="T18" s="134"/>
      <c r="U18" s="134"/>
      <c r="V18" s="134"/>
      <c r="W18" s="134"/>
      <c r="X18" s="102"/>
      <c r="Y18" s="134"/>
      <c r="Z18" s="134"/>
      <c r="AA18" s="102"/>
      <c r="AF18" s="90"/>
    </row>
    <row r="19" spans="1:32" x14ac:dyDescent="0.25">
      <c r="A19" s="99"/>
      <c r="B19" s="122"/>
      <c r="C19" s="122"/>
      <c r="D19" s="122"/>
      <c r="E19" s="122"/>
      <c r="F19" s="122"/>
      <c r="G19" s="122"/>
      <c r="H19" s="122"/>
      <c r="I19" s="135"/>
      <c r="J19" s="122"/>
      <c r="K19" s="122"/>
      <c r="L19" s="182"/>
      <c r="M19" s="118"/>
      <c r="N19" s="118"/>
      <c r="O19" s="118"/>
      <c r="P19" s="136"/>
      <c r="Q19" s="104"/>
      <c r="R19" s="134"/>
      <c r="S19" s="134"/>
      <c r="T19" s="134"/>
      <c r="U19" s="134"/>
      <c r="V19" s="134"/>
      <c r="W19" s="134"/>
      <c r="X19" s="102"/>
      <c r="Y19" s="134"/>
      <c r="Z19" s="134"/>
      <c r="AA19" s="102"/>
      <c r="AF19" s="90"/>
    </row>
    <row r="20" spans="1:32" x14ac:dyDescent="0.25">
      <c r="A20" s="99"/>
      <c r="B20" s="117"/>
      <c r="C20" s="117"/>
      <c r="D20" s="117"/>
      <c r="E20" s="117"/>
      <c r="F20" s="117"/>
      <c r="G20" s="135"/>
      <c r="H20" s="117"/>
      <c r="I20" s="117"/>
      <c r="J20" s="117"/>
      <c r="K20" s="117"/>
      <c r="L20" s="138"/>
      <c r="M20" s="136"/>
      <c r="N20" s="135"/>
      <c r="O20" s="135"/>
      <c r="P20" s="136"/>
      <c r="Q20" s="104"/>
      <c r="R20" s="134"/>
      <c r="S20" s="134"/>
      <c r="T20" s="134"/>
      <c r="U20" s="134"/>
      <c r="V20" s="134"/>
      <c r="W20" s="134"/>
      <c r="X20" s="102"/>
      <c r="Y20" s="134"/>
      <c r="Z20" s="134"/>
      <c r="AA20" s="102"/>
      <c r="AF20" s="90"/>
    </row>
    <row r="21" spans="1:32" x14ac:dyDescent="0.25">
      <c r="A21" s="99"/>
      <c r="B21" s="138" t="s">
        <v>6</v>
      </c>
      <c r="C21" s="176">
        <v>0.61058209746680625</v>
      </c>
      <c r="D21" s="176">
        <v>0.61863983613113516</v>
      </c>
      <c r="E21" s="176">
        <v>0.30698044456990625</v>
      </c>
      <c r="F21" s="139">
        <v>0.3353551163259022</v>
      </c>
      <c r="G21" s="139">
        <v>0.28037774991211667</v>
      </c>
      <c r="H21" s="176">
        <v>0.34068144554786339</v>
      </c>
      <c r="I21" s="239">
        <v>0.33522873651260021</v>
      </c>
      <c r="J21" s="156">
        <v>0.33023748418811416</v>
      </c>
      <c r="K21" s="156">
        <v>0.32900000000000001</v>
      </c>
      <c r="L21" s="140">
        <v>0.34356010057147962</v>
      </c>
      <c r="M21" s="140">
        <v>0.3151305103905912</v>
      </c>
      <c r="N21" s="139">
        <v>0.35089281819642149</v>
      </c>
      <c r="O21" s="139">
        <v>0.37128843165205699</v>
      </c>
      <c r="P21" s="140">
        <v>0.36882260920596455</v>
      </c>
      <c r="Q21" s="104"/>
      <c r="R21" s="102"/>
      <c r="S21" s="102"/>
      <c r="T21" s="102"/>
      <c r="U21" s="102"/>
      <c r="V21" s="102"/>
      <c r="W21" s="102"/>
      <c r="X21" s="102"/>
      <c r="Y21" s="102"/>
      <c r="Z21" s="102"/>
      <c r="AA21" s="134"/>
      <c r="AF21" s="90"/>
    </row>
    <row r="22" spans="1:32" ht="15" x14ac:dyDescent="0.35">
      <c r="A22" s="99"/>
      <c r="B22" s="141" t="s">
        <v>44</v>
      </c>
      <c r="C22" s="177">
        <v>5.2246886727905194E-2</v>
      </c>
      <c r="D22" s="177">
        <v>6.5343746557142188E-2</v>
      </c>
      <c r="E22" s="177">
        <v>3.5274364132890611E-2</v>
      </c>
      <c r="F22" s="146">
        <v>4.4868956756416695E-2</v>
      </c>
      <c r="G22" s="146">
        <v>4.1681784455342777E-2</v>
      </c>
      <c r="H22" s="177">
        <v>6.1989277745871318E-2</v>
      </c>
      <c r="I22" s="240">
        <v>6.5506493486302358E-2</v>
      </c>
      <c r="J22" s="177">
        <v>6.914070936156641E-2</v>
      </c>
      <c r="K22" s="177">
        <v>4.6699999999999998E-2</v>
      </c>
      <c r="L22" s="142">
        <v>7.597259608228793E-2</v>
      </c>
      <c r="M22" s="143">
        <v>7.32009864520584E-2</v>
      </c>
      <c r="N22" s="146">
        <v>8.2440140042275803E-2</v>
      </c>
      <c r="O22" s="146">
        <v>8.9161520479436998E-2</v>
      </c>
      <c r="P22" s="142">
        <v>9.0338779178141093E-2</v>
      </c>
      <c r="Q22" s="104"/>
      <c r="R22" s="102"/>
      <c r="S22" s="145"/>
      <c r="T22" s="145"/>
      <c r="U22" s="145"/>
      <c r="V22" s="145"/>
      <c r="W22" s="145"/>
      <c r="X22" s="102"/>
      <c r="Y22" s="102"/>
      <c r="Z22" s="102"/>
      <c r="AA22" s="145"/>
      <c r="AF22" s="90"/>
    </row>
    <row r="23" spans="1:32" ht="15" x14ac:dyDescent="0.35">
      <c r="A23" s="99"/>
      <c r="B23" s="304" t="s">
        <v>14</v>
      </c>
      <c r="C23" s="146">
        <v>0.22036123682410405</v>
      </c>
      <c r="D23" s="146">
        <v>0.23000245109002343</v>
      </c>
      <c r="E23" s="146">
        <v>0.18950157247140006</v>
      </c>
      <c r="F23" s="304"/>
      <c r="G23" s="146">
        <v>0.14666188486455586</v>
      </c>
      <c r="H23" s="146">
        <v>0.2035764032589967</v>
      </c>
      <c r="I23" s="305">
        <v>0.2655544608533002</v>
      </c>
      <c r="J23" s="146">
        <v>0.26788648757728151</v>
      </c>
      <c r="K23" s="146">
        <v>0.216</v>
      </c>
      <c r="L23" s="146">
        <v>0.36767131967282285</v>
      </c>
      <c r="M23" s="146">
        <v>0.57594073856047945</v>
      </c>
      <c r="N23" s="146">
        <v>0.76424297931099039</v>
      </c>
      <c r="O23" s="146">
        <v>0.79623341742994336</v>
      </c>
      <c r="P23" s="142">
        <v>0.95304064458473114</v>
      </c>
      <c r="Q23" s="104"/>
      <c r="R23" s="219"/>
      <c r="S23" s="145"/>
      <c r="T23" s="145"/>
      <c r="U23" s="145"/>
      <c r="V23" s="145"/>
      <c r="W23" s="145"/>
      <c r="X23" s="102"/>
      <c r="Y23" s="102"/>
      <c r="Z23" s="102"/>
      <c r="AA23" s="145"/>
      <c r="AF23" s="90"/>
    </row>
    <row r="24" spans="1:32" ht="15" x14ac:dyDescent="0.35">
      <c r="A24" s="99"/>
      <c r="B24" s="304" t="s">
        <v>45</v>
      </c>
      <c r="C24" s="307">
        <v>3.2893707792514752E-3</v>
      </c>
      <c r="D24" s="307">
        <v>3.4091582508354763E-3</v>
      </c>
      <c r="E24" s="307">
        <v>2.5266876329520008E-3</v>
      </c>
      <c r="F24" s="304"/>
      <c r="G24" s="307">
        <v>1.3995734155646186E-3</v>
      </c>
      <c r="H24" s="146">
        <v>1.8642421361668413E-2</v>
      </c>
      <c r="I24" s="305">
        <v>1.9169692612216301E-2</v>
      </c>
      <c r="J24" s="146">
        <v>1.8385778728599922E-2</v>
      </c>
      <c r="K24" s="146">
        <v>1.77E-2</v>
      </c>
      <c r="L24" s="146">
        <v>1.9832872671334476E-2</v>
      </c>
      <c r="M24" s="146">
        <v>1.8109040264440858E-2</v>
      </c>
      <c r="N24" s="146">
        <v>2.1573560989345389E-2</v>
      </c>
      <c r="O24" s="146">
        <v>2.2816652775384638E-2</v>
      </c>
      <c r="P24" s="142">
        <v>2.5216647176599598E-2</v>
      </c>
      <c r="Q24" s="104"/>
      <c r="R24" s="102"/>
      <c r="S24" s="147"/>
      <c r="T24" s="147"/>
      <c r="W24" s="148"/>
      <c r="AA24" s="149"/>
      <c r="AF24" s="90"/>
    </row>
    <row r="25" spans="1:32" x14ac:dyDescent="0.25">
      <c r="A25" s="99"/>
      <c r="B25" s="117"/>
      <c r="C25" s="117"/>
      <c r="D25" s="117"/>
      <c r="E25" s="117"/>
      <c r="F25" s="117"/>
      <c r="G25" s="135"/>
      <c r="H25" s="117"/>
      <c r="I25" s="117"/>
      <c r="J25" s="117"/>
      <c r="K25" s="117"/>
      <c r="L25" s="135"/>
      <c r="M25" s="117"/>
      <c r="N25" s="117"/>
      <c r="O25" s="117"/>
      <c r="P25" s="138"/>
      <c r="Q25" s="104"/>
      <c r="R25" s="147"/>
      <c r="S25" s="147"/>
      <c r="T25" s="147"/>
      <c r="W25" s="148"/>
      <c r="AA25" s="102"/>
      <c r="AF25" s="90"/>
    </row>
    <row r="26" spans="1:32" x14ac:dyDescent="0.25">
      <c r="A26" s="99"/>
      <c r="B26" s="150" t="s">
        <v>2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83"/>
      <c r="Q26" s="104"/>
      <c r="AA26" s="102"/>
      <c r="AF26" s="90"/>
    </row>
    <row r="27" spans="1:32" x14ac:dyDescent="0.25">
      <c r="A27" s="99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38"/>
      <c r="Q27" s="104"/>
      <c r="Z27" s="120"/>
      <c r="AA27" s="102"/>
      <c r="AF27" s="90"/>
    </row>
    <row r="28" spans="1:32" x14ac:dyDescent="0.25">
      <c r="A28" s="99"/>
      <c r="B28" s="117" t="s">
        <v>25</v>
      </c>
      <c r="C28" s="321">
        <v>752.54893818660912</v>
      </c>
      <c r="D28" s="321">
        <v>759.5299121871027</v>
      </c>
      <c r="E28" s="321">
        <v>1135.1734758578189</v>
      </c>
      <c r="F28" s="321">
        <v>1050.6595016731765</v>
      </c>
      <c r="G28" s="321">
        <v>987.39156555363184</v>
      </c>
      <c r="H28" s="321">
        <v>958.28318075848904</v>
      </c>
      <c r="I28" s="321">
        <v>917.48628873418716</v>
      </c>
      <c r="J28" s="321">
        <v>890.07647763932232</v>
      </c>
      <c r="K28" s="321">
        <v>848.96948461187378</v>
      </c>
      <c r="L28" s="321">
        <v>819.81533650104552</v>
      </c>
      <c r="M28" s="321">
        <v>795.80549623057209</v>
      </c>
      <c r="N28" s="321">
        <v>715.66844485062643</v>
      </c>
      <c r="O28" s="321">
        <v>658.28315075038211</v>
      </c>
      <c r="P28" s="321">
        <v>725.18727564987444</v>
      </c>
      <c r="Q28" s="104"/>
      <c r="AA28" s="121"/>
      <c r="AD28" s="153"/>
      <c r="AF28" s="90"/>
    </row>
    <row r="29" spans="1:32" x14ac:dyDescent="0.25">
      <c r="A29" s="99"/>
      <c r="B29" s="138" t="s">
        <v>41</v>
      </c>
      <c r="C29" s="321">
        <v>938.77316502429107</v>
      </c>
      <c r="D29" s="321">
        <v>1024.9720330342491</v>
      </c>
      <c r="E29" s="321">
        <v>608.27013557083751</v>
      </c>
      <c r="F29" s="321">
        <v>448.32761882931305</v>
      </c>
      <c r="G29" s="321">
        <v>399.621206416983</v>
      </c>
      <c r="H29" s="321">
        <v>356.06125658611631</v>
      </c>
      <c r="I29" s="321">
        <v>399.44031548866968</v>
      </c>
      <c r="J29" s="321">
        <v>395.20059516101628</v>
      </c>
      <c r="K29" s="321">
        <v>394.32237559130664</v>
      </c>
      <c r="L29" s="321">
        <v>430.46941861703266</v>
      </c>
      <c r="M29" s="321">
        <v>394.39850977701718</v>
      </c>
      <c r="N29" s="321">
        <v>414.32491345556258</v>
      </c>
      <c r="O29" s="321">
        <v>464.10940208610288</v>
      </c>
      <c r="P29" s="321">
        <v>395.44158798648925</v>
      </c>
      <c r="Q29" s="104"/>
      <c r="R29" s="154"/>
      <c r="S29" s="154"/>
      <c r="AA29" s="121"/>
      <c r="AF29" s="90"/>
    </row>
    <row r="30" spans="1:32" x14ac:dyDescent="0.25">
      <c r="A30" s="99"/>
      <c r="B30" s="117" t="s">
        <v>26</v>
      </c>
      <c r="C30" s="321">
        <v>1710.3156421987915</v>
      </c>
      <c r="D30" s="321">
        <v>1801.7309981138887</v>
      </c>
      <c r="E30" s="321">
        <v>1761.7178352553713</v>
      </c>
      <c r="F30" s="321">
        <v>1518.2560789895754</v>
      </c>
      <c r="G30" s="321">
        <v>1408.4258264541484</v>
      </c>
      <c r="H30" s="321">
        <v>1333.9507363088803</v>
      </c>
      <c r="I30" s="321">
        <v>1334.8397436480002</v>
      </c>
      <c r="J30" s="321">
        <v>1301.6197507660879</v>
      </c>
      <c r="K30" s="321">
        <v>1265.7260740354536</v>
      </c>
      <c r="L30" s="321">
        <v>1257.6980702875398</v>
      </c>
      <c r="M30" s="321">
        <v>1200.1815723472669</v>
      </c>
      <c r="N30" s="321">
        <v>1137.6690684039088</v>
      </c>
      <c r="O30" s="321">
        <v>1130.0055617352614</v>
      </c>
      <c r="P30" s="321">
        <v>1128.8086363636364</v>
      </c>
      <c r="Q30" s="104"/>
      <c r="S30" s="155"/>
      <c r="Z30" s="153"/>
      <c r="AA30" s="121"/>
      <c r="AF30" s="90"/>
    </row>
    <row r="31" spans="1:32" x14ac:dyDescent="0.25">
      <c r="A31" s="99"/>
      <c r="B31" s="117"/>
      <c r="C31" s="342"/>
      <c r="D31" s="342"/>
      <c r="E31" s="342"/>
      <c r="F31" s="342"/>
      <c r="G31" s="342"/>
      <c r="H31" s="342"/>
      <c r="I31" s="342"/>
      <c r="J31" s="313"/>
      <c r="K31" s="340"/>
      <c r="L31" s="342"/>
      <c r="M31" s="342"/>
      <c r="N31" s="342"/>
      <c r="O31" s="342"/>
      <c r="P31" s="343"/>
      <c r="Q31" s="104"/>
      <c r="AA31" s="102"/>
      <c r="AF31" s="90"/>
    </row>
    <row r="32" spans="1:32" x14ac:dyDescent="0.25">
      <c r="A32" s="99"/>
      <c r="B32" s="117" t="s">
        <v>35</v>
      </c>
      <c r="C32" s="342"/>
      <c r="D32" s="342"/>
      <c r="E32" s="342"/>
      <c r="F32" s="342"/>
      <c r="G32" s="342"/>
      <c r="H32" s="342"/>
      <c r="I32" s="342"/>
      <c r="J32" s="313"/>
      <c r="K32" s="340"/>
      <c r="L32" s="342"/>
      <c r="M32" s="342"/>
      <c r="N32" s="342"/>
      <c r="O32" s="342"/>
      <c r="P32" s="343"/>
      <c r="Q32" s="104"/>
      <c r="AA32" s="102"/>
      <c r="AF32" s="90"/>
    </row>
    <row r="33" spans="1:32" x14ac:dyDescent="0.25">
      <c r="A33" s="99"/>
      <c r="B33" s="117" t="s">
        <v>7</v>
      </c>
      <c r="C33" s="336">
        <v>746.13796514782166</v>
      </c>
      <c r="D33" s="336">
        <v>769.02533386909454</v>
      </c>
      <c r="E33" s="336">
        <v>746.43683940367475</v>
      </c>
      <c r="F33" s="336">
        <v>703.03856798323329</v>
      </c>
      <c r="G33" s="336">
        <v>716.38974796816296</v>
      </c>
      <c r="H33" s="336">
        <v>724.17702510168465</v>
      </c>
      <c r="I33" s="336">
        <v>689.31777421642028</v>
      </c>
      <c r="J33" s="336">
        <v>752.67764407034679</v>
      </c>
      <c r="K33" s="336">
        <v>699.34524358087754</v>
      </c>
      <c r="L33" s="336">
        <v>732.87687701293203</v>
      </c>
      <c r="M33" s="336">
        <v>684.3504030198477</v>
      </c>
      <c r="N33" s="336">
        <v>637.52426765870803</v>
      </c>
      <c r="O33" s="336">
        <v>656.11977421186839</v>
      </c>
      <c r="P33" s="336">
        <v>662.78555479308454</v>
      </c>
      <c r="Q33" s="104"/>
      <c r="AA33" s="102"/>
      <c r="AF33" s="90"/>
    </row>
    <row r="34" spans="1:32" x14ac:dyDescent="0.25">
      <c r="A34" s="99"/>
      <c r="B34" s="117" t="s">
        <v>15</v>
      </c>
      <c r="C34" s="319">
        <v>0.86944039414956642</v>
      </c>
      <c r="D34" s="319">
        <v>0.94181881742728424</v>
      </c>
      <c r="E34" s="319">
        <v>0.93236956646737279</v>
      </c>
      <c r="F34" s="319">
        <v>0.84977519633306231</v>
      </c>
      <c r="G34" s="319">
        <v>0.84321239489472688</v>
      </c>
      <c r="H34" s="319">
        <v>0.85765967246393771</v>
      </c>
      <c r="I34" s="319">
        <v>0.81384955499504197</v>
      </c>
      <c r="J34" s="319">
        <v>0.93103017768572716</v>
      </c>
      <c r="K34" s="319">
        <v>0.86991526131788977</v>
      </c>
      <c r="L34" s="319">
        <v>0.91760931074371477</v>
      </c>
      <c r="M34" s="319">
        <v>0.93947269131332656</v>
      </c>
      <c r="N34" s="319">
        <v>0.86296028100506728</v>
      </c>
      <c r="O34" s="319">
        <v>0.87902577251442127</v>
      </c>
      <c r="P34" s="319">
        <v>0.88379923771036573</v>
      </c>
      <c r="Q34" s="104"/>
      <c r="AA34" s="102"/>
      <c r="AF34" s="90"/>
    </row>
    <row r="35" spans="1:32" x14ac:dyDescent="0.25">
      <c r="A35" s="99"/>
      <c r="B35" s="117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104"/>
      <c r="AA35" s="102"/>
      <c r="AF35" s="90"/>
    </row>
    <row r="36" spans="1:32" x14ac:dyDescent="0.25">
      <c r="A36" s="99"/>
      <c r="B36" s="117" t="s">
        <v>36</v>
      </c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104"/>
      <c r="AA36" s="102"/>
      <c r="AF36" s="90"/>
    </row>
    <row r="37" spans="1:32" x14ac:dyDescent="0.25">
      <c r="A37" s="99"/>
      <c r="B37" s="117" t="s">
        <v>8</v>
      </c>
      <c r="C37" s="319">
        <v>10.012526539431612</v>
      </c>
      <c r="D37" s="319">
        <v>10.044007015073886</v>
      </c>
      <c r="E37" s="319">
        <v>9.833927254988847</v>
      </c>
      <c r="F37" s="319">
        <v>9.9250126638806364</v>
      </c>
      <c r="G37" s="319">
        <v>9.9300142699515632</v>
      </c>
      <c r="H37" s="319">
        <v>10.292059477867188</v>
      </c>
      <c r="I37" s="319">
        <v>10.010051845890541</v>
      </c>
      <c r="J37" s="319">
        <v>9.7962819228619367</v>
      </c>
      <c r="K37" s="319">
        <v>9.6520733927930671</v>
      </c>
      <c r="L37" s="319">
        <v>9.530395594320094</v>
      </c>
      <c r="M37" s="319">
        <v>9.5732192375657892</v>
      </c>
      <c r="N37" s="319">
        <v>8.8661203694454844</v>
      </c>
      <c r="O37" s="319">
        <v>8.8762080446623646</v>
      </c>
      <c r="P37" s="319">
        <v>10.5608975771858</v>
      </c>
      <c r="Q37" s="104"/>
      <c r="AA37" s="134"/>
      <c r="AF37" s="90"/>
    </row>
    <row r="38" spans="1:32" x14ac:dyDescent="0.25">
      <c r="A38" s="99"/>
      <c r="B38" s="117" t="s">
        <v>9</v>
      </c>
      <c r="C38" s="319">
        <v>2.8607218684090316</v>
      </c>
      <c r="D38" s="319">
        <v>2.9541197103158492</v>
      </c>
      <c r="E38" s="319">
        <v>2.048734844789343</v>
      </c>
      <c r="F38" s="319">
        <v>2.0677109716417994</v>
      </c>
      <c r="G38" s="319">
        <v>2.0687529729065757</v>
      </c>
      <c r="H38" s="319">
        <v>2.1441790578889974</v>
      </c>
      <c r="I38" s="319">
        <v>2.0854274678938625</v>
      </c>
      <c r="J38" s="319">
        <v>2.0408920672629036</v>
      </c>
      <c r="K38" s="319">
        <v>2.0108486234985556</v>
      </c>
      <c r="L38" s="319">
        <v>1.9854990821500196</v>
      </c>
      <c r="M38" s="319">
        <v>1.994420674492873</v>
      </c>
      <c r="N38" s="319">
        <v>1.8471084103011426</v>
      </c>
      <c r="O38" s="319">
        <v>1.8492100093046595</v>
      </c>
      <c r="P38" s="319">
        <v>2.2001869952470416</v>
      </c>
      <c r="Q38" s="134"/>
      <c r="S38" s="157"/>
      <c r="AA38" s="134"/>
      <c r="AF38" s="90"/>
    </row>
    <row r="39" spans="1:32" x14ac:dyDescent="0.25">
      <c r="A39" s="99"/>
      <c r="B39" s="117" t="s">
        <v>16</v>
      </c>
      <c r="C39" s="319">
        <v>0.38255888520825077</v>
      </c>
      <c r="D39" s="319">
        <v>0.39702905952417261</v>
      </c>
      <c r="E39" s="319">
        <v>0.60077793411076741</v>
      </c>
      <c r="F39" s="319">
        <v>0.58805915330680603</v>
      </c>
      <c r="G39" s="319">
        <v>0.59114281423355908</v>
      </c>
      <c r="H39" s="319">
        <v>0.61612533099327071</v>
      </c>
      <c r="I39" s="319">
        <v>0.55938985286706888</v>
      </c>
      <c r="J39" s="319">
        <v>0.63665910158684025</v>
      </c>
      <c r="K39" s="319">
        <v>0.58348447283101934</v>
      </c>
      <c r="L39" s="319">
        <v>0.59813257540568865</v>
      </c>
      <c r="M39" s="319">
        <v>0.6229370193073982</v>
      </c>
      <c r="N39" s="319">
        <v>0.5428586039885992</v>
      </c>
      <c r="O39" s="319">
        <v>0.51207522751746237</v>
      </c>
      <c r="P39" s="319">
        <v>0.56778442401121809</v>
      </c>
      <c r="Q39" s="134"/>
      <c r="AA39" s="134"/>
      <c r="AF39" s="90"/>
    </row>
    <row r="40" spans="1:32" x14ac:dyDescent="0.25">
      <c r="A40" s="99"/>
      <c r="B40" s="117" t="s">
        <v>10</v>
      </c>
      <c r="C40" s="319">
        <v>22.755438071024223</v>
      </c>
      <c r="D40" s="319">
        <v>23.826051474683798</v>
      </c>
      <c r="E40" s="319">
        <v>15.261636572882418</v>
      </c>
      <c r="F40" s="319">
        <v>14.342144897550877</v>
      </c>
      <c r="G40" s="319">
        <v>14.164277924549843</v>
      </c>
      <c r="H40" s="319">
        <v>14.326767488258563</v>
      </c>
      <c r="I40" s="319">
        <v>14.563503786314223</v>
      </c>
      <c r="J40" s="319">
        <v>14.325773520819718</v>
      </c>
      <c r="K40" s="319">
        <v>14.390247450822407</v>
      </c>
      <c r="L40" s="319">
        <v>14.620804972020631</v>
      </c>
      <c r="M40" s="319">
        <v>14.437700382051498</v>
      </c>
      <c r="N40" s="319">
        <v>14.09411155911625</v>
      </c>
      <c r="O40" s="319">
        <v>15.236854302216727</v>
      </c>
      <c r="P40" s="319">
        <v>16.438832827280315</v>
      </c>
      <c r="Q40" s="134"/>
      <c r="S40" s="153"/>
      <c r="AA40" s="134"/>
      <c r="AF40" s="90"/>
    </row>
    <row r="41" spans="1:32" x14ac:dyDescent="0.25">
      <c r="A41" s="99"/>
      <c r="B41" s="158" t="s">
        <v>11</v>
      </c>
      <c r="C41" s="324">
        <v>6.5015537345783487</v>
      </c>
      <c r="D41" s="324">
        <v>7.007662198436412</v>
      </c>
      <c r="E41" s="324">
        <v>3.1795076193505043</v>
      </c>
      <c r="F41" s="324">
        <v>2.9879468536564331</v>
      </c>
      <c r="G41" s="324">
        <v>2.9508912342812175</v>
      </c>
      <c r="H41" s="324">
        <v>2.9847432267205343</v>
      </c>
      <c r="I41" s="324">
        <v>3.0340632888154633</v>
      </c>
      <c r="J41" s="324">
        <v>2.9845361501707743</v>
      </c>
      <c r="K41" s="324">
        <v>2.997968218921335</v>
      </c>
      <c r="L41" s="324">
        <v>3.0460010358376319</v>
      </c>
      <c r="M41" s="324">
        <v>3.0078542462607292</v>
      </c>
      <c r="N41" s="324">
        <v>2.9362732414825521</v>
      </c>
      <c r="O41" s="324">
        <v>3.1743446462951517</v>
      </c>
      <c r="P41" s="324">
        <v>3.4247568390167324</v>
      </c>
      <c r="Q41" s="134"/>
      <c r="S41" s="153"/>
      <c r="AA41" s="134"/>
      <c r="AF41" s="90"/>
    </row>
    <row r="42" spans="1:32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102"/>
      <c r="Z42" s="102"/>
    </row>
    <row r="43" spans="1:32" x14ac:dyDescent="0.25">
      <c r="A43" s="99"/>
      <c r="B43" s="159" t="s">
        <v>39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45"/>
      <c r="Z43" s="102"/>
    </row>
    <row r="44" spans="1:32" x14ac:dyDescent="0.25">
      <c r="A44" s="99"/>
      <c r="B44" s="17" t="s">
        <v>64</v>
      </c>
      <c r="C44" s="17"/>
      <c r="D44" s="17"/>
      <c r="E44" s="17"/>
      <c r="F44" s="17"/>
      <c r="G44" s="17"/>
      <c r="H44" s="236"/>
      <c r="I44" s="160"/>
      <c r="J44" s="160"/>
      <c r="K44" s="160"/>
      <c r="L44" s="160"/>
      <c r="M44" s="160"/>
      <c r="N44" s="160"/>
      <c r="O44" s="160"/>
      <c r="P44" s="145"/>
      <c r="Q44" s="161"/>
      <c r="R44" s="161"/>
      <c r="S44" s="161"/>
      <c r="T44" s="161"/>
      <c r="U44" s="161"/>
      <c r="V44" s="161"/>
      <c r="W44" s="161"/>
      <c r="X44" s="161"/>
      <c r="Y44" s="161"/>
      <c r="Z44" s="102"/>
    </row>
    <row r="45" spans="1:32" ht="12.75" customHeight="1" x14ac:dyDescent="0.25">
      <c r="A45" s="99"/>
      <c r="B45" s="159" t="s">
        <v>65</v>
      </c>
      <c r="C45" s="159"/>
      <c r="D45" s="159"/>
      <c r="E45" s="159"/>
      <c r="F45" s="159"/>
      <c r="G45" s="159"/>
      <c r="H45" s="236"/>
      <c r="I45" s="160"/>
      <c r="J45" s="160"/>
      <c r="K45" s="160"/>
      <c r="L45" s="160"/>
      <c r="M45" s="160"/>
      <c r="N45" s="160"/>
      <c r="O45" s="160"/>
      <c r="P45" s="147"/>
    </row>
    <row r="46" spans="1:32" ht="12.75" customHeight="1" x14ac:dyDescent="0.25">
      <c r="A46" s="9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47"/>
      <c r="Q46" s="162"/>
    </row>
    <row r="47" spans="1:32" x14ac:dyDescent="0.25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Q47" s="161"/>
    </row>
    <row r="48" spans="1:32" x14ac:dyDescent="0.25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3"/>
      <c r="Z48" s="120"/>
      <c r="AA48" s="120"/>
      <c r="AB48" s="120"/>
      <c r="AC48" s="120"/>
      <c r="AD48" s="120"/>
    </row>
    <row r="49" spans="2:29" x14ac:dyDescent="0.25">
      <c r="B49" s="164"/>
      <c r="C49" s="164"/>
      <c r="D49" s="164"/>
      <c r="E49" s="164"/>
      <c r="F49" s="164"/>
      <c r="G49" s="164"/>
      <c r="H49" s="164"/>
      <c r="I49" s="164"/>
      <c r="J49" s="164"/>
      <c r="Q49" s="161"/>
      <c r="AB49" s="120"/>
      <c r="AC49" s="120"/>
    </row>
    <row r="50" spans="2:29" x14ac:dyDescent="0.25"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</row>
    <row r="51" spans="2:29" x14ac:dyDescent="0.25"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</row>
    <row r="52" spans="2:29" x14ac:dyDescent="0.25"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</row>
    <row r="53" spans="2:29" x14ac:dyDescent="0.25"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Q53" s="169"/>
      <c r="S53" s="169"/>
      <c r="T53" s="170"/>
      <c r="U53" s="169"/>
      <c r="V53" s="170"/>
    </row>
    <row r="54" spans="2:29" ht="13.8" x14ac:dyDescent="0.3"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Q54" s="171"/>
      <c r="R54" s="171"/>
      <c r="S54" s="171"/>
      <c r="T54" s="171"/>
      <c r="U54" s="171"/>
      <c r="V54" s="171"/>
      <c r="Z54" s="161"/>
    </row>
    <row r="55" spans="2:29" x14ac:dyDescent="0.25"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Q55" s="153"/>
      <c r="R55" s="153"/>
      <c r="S55" s="153"/>
      <c r="T55" s="153"/>
      <c r="U55" s="153"/>
      <c r="V55" s="153"/>
      <c r="W55" s="153"/>
    </row>
    <row r="56" spans="2:29" x14ac:dyDescent="0.25"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</row>
    <row r="57" spans="2:29" x14ac:dyDescent="0.25"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</row>
    <row r="58" spans="2:29" x14ac:dyDescent="0.25"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</row>
    <row r="59" spans="2:29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</row>
    <row r="60" spans="2:29" x14ac:dyDescent="0.25"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</row>
    <row r="61" spans="2:29" x14ac:dyDescent="0.25"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</row>
    <row r="62" spans="2:29" x14ac:dyDescent="0.25"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Q62" s="172"/>
      <c r="R62" s="153"/>
      <c r="S62" s="153"/>
      <c r="T62" s="153"/>
      <c r="U62" s="153"/>
      <c r="V62" s="153"/>
      <c r="W62" s="153"/>
      <c r="X62" s="153"/>
      <c r="Y62" s="153"/>
    </row>
    <row r="63" spans="2:29" x14ac:dyDescent="0.25"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</row>
    <row r="64" spans="2:29" x14ac:dyDescent="0.25"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</row>
    <row r="65" spans="2:19" x14ac:dyDescent="0.25"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Q65" s="173"/>
      <c r="R65" s="161"/>
      <c r="S65" s="161"/>
    </row>
    <row r="66" spans="2:19" x14ac:dyDescent="0.25"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</row>
    <row r="67" spans="2:19" x14ac:dyDescent="0.25"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</row>
    <row r="68" spans="2:19" x14ac:dyDescent="0.25"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</row>
    <row r="69" spans="2:19" x14ac:dyDescent="0.25"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</row>
    <row r="70" spans="2:19" x14ac:dyDescent="0.25"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</row>
    <row r="71" spans="2:19" x14ac:dyDescent="0.25"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Q71" s="161"/>
      <c r="R71" s="161"/>
    </row>
    <row r="72" spans="2:19" x14ac:dyDescent="0.25"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</row>
    <row r="73" spans="2:19" x14ac:dyDescent="0.25"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</row>
    <row r="74" spans="2:19" x14ac:dyDescent="0.25"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Q74" s="174"/>
      <c r="R74" s="174"/>
    </row>
    <row r="75" spans="2:19" x14ac:dyDescent="0.25"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</row>
    <row r="76" spans="2:19" x14ac:dyDescent="0.25"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Q76" s="161"/>
      <c r="R76" s="161"/>
    </row>
    <row r="77" spans="2:19" x14ac:dyDescent="0.25"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</row>
    <row r="78" spans="2:19" x14ac:dyDescent="0.25"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2:19" x14ac:dyDescent="0.25"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</row>
    <row r="80" spans="2:19" x14ac:dyDescent="0.25"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</row>
    <row r="81" spans="2:26" x14ac:dyDescent="0.25"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</row>
    <row r="82" spans="2:26" x14ac:dyDescent="0.25"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</row>
    <row r="83" spans="2:26" x14ac:dyDescent="0.25"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Z83" s="153"/>
    </row>
    <row r="84" spans="2:26" x14ac:dyDescent="0.25"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</row>
    <row r="85" spans="2:26" x14ac:dyDescent="0.25"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</row>
    <row r="86" spans="2:26" x14ac:dyDescent="0.25"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</row>
    <row r="87" spans="2:26" x14ac:dyDescent="0.25"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2:26" x14ac:dyDescent="0.25"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</row>
    <row r="89" spans="2:26" x14ac:dyDescent="0.25"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</row>
    <row r="90" spans="2:26" x14ac:dyDescent="0.25"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</row>
    <row r="91" spans="2:26" x14ac:dyDescent="0.25"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</row>
    <row r="92" spans="2:26" x14ac:dyDescent="0.25"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</row>
    <row r="93" spans="2:26" x14ac:dyDescent="0.25"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</row>
    <row r="94" spans="2:26" x14ac:dyDescent="0.25"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</row>
    <row r="95" spans="2:26" x14ac:dyDescent="0.25"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</row>
    <row r="96" spans="2:26" x14ac:dyDescent="0.25"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</row>
    <row r="97" spans="2:14" x14ac:dyDescent="0.25"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</row>
    <row r="98" spans="2:14" x14ac:dyDescent="0.25"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</row>
    <row r="99" spans="2:14" x14ac:dyDescent="0.25"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</row>
    <row r="100" spans="2:14" x14ac:dyDescent="0.25"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</row>
    <row r="101" spans="2:14" x14ac:dyDescent="0.25"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</row>
    <row r="102" spans="2:14" x14ac:dyDescent="0.25"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</row>
    <row r="103" spans="2:14" x14ac:dyDescent="0.25"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</row>
    <row r="104" spans="2:14" x14ac:dyDescent="0.25"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</row>
    <row r="105" spans="2:14" x14ac:dyDescent="0.25"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</row>
    <row r="106" spans="2:14" x14ac:dyDescent="0.25"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</row>
    <row r="107" spans="2:14" x14ac:dyDescent="0.25"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</row>
    <row r="108" spans="2:14" x14ac:dyDescent="0.25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</row>
    <row r="109" spans="2:14" x14ac:dyDescent="0.25"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</row>
    <row r="110" spans="2:14" x14ac:dyDescent="0.25"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</row>
    <row r="111" spans="2:14" x14ac:dyDescent="0.25"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</row>
    <row r="112" spans="2:14" x14ac:dyDescent="0.25"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</row>
    <row r="113" spans="2:14" x14ac:dyDescent="0.25"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</row>
    <row r="114" spans="2:14" x14ac:dyDescent="0.25"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</row>
    <row r="115" spans="2:14" x14ac:dyDescent="0.25"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</row>
    <row r="116" spans="2:14" x14ac:dyDescent="0.25"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</row>
    <row r="117" spans="2:14" x14ac:dyDescent="0.25"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</row>
    <row r="118" spans="2:14" x14ac:dyDescent="0.25"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</row>
    <row r="119" spans="2:14" x14ac:dyDescent="0.25"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</row>
    <row r="120" spans="2:14" x14ac:dyDescent="0.25"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</row>
    <row r="121" spans="2:14" x14ac:dyDescent="0.25"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</row>
    <row r="122" spans="2:14" x14ac:dyDescent="0.25"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</row>
    <row r="123" spans="2:14" x14ac:dyDescent="0.25"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</row>
    <row r="124" spans="2:14" x14ac:dyDescent="0.25"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</row>
  </sheetData>
  <printOptions verticalCentered="1"/>
  <pageMargins left="0.37" right="0.44" top="0.27559055118110237" bottom="0.47244094488188981" header="0.51181102362204722" footer="0.51181102362204722"/>
  <pageSetup paperSize="9" scale="56" orientation="landscape" horizontalDpi="4294967292" r:id="rId1"/>
  <headerFooter alignWithMargins="0">
    <oddHeader>&amp;A</oddHeader>
    <oddFooter>&amp;L&amp;BAS Oslo SporveierKonfidensielt&amp;B&amp;C&amp;D&amp;RSide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  <pageSetUpPr fitToPage="1"/>
  </sheetPr>
  <dimension ref="A1:AF125"/>
  <sheetViews>
    <sheetView zoomScaleNormal="100" workbookViewId="0">
      <selection activeCell="E39" sqref="E39"/>
    </sheetView>
  </sheetViews>
  <sheetFormatPr baseColWidth="10" defaultColWidth="9.109375" defaultRowHeight="13.2" x14ac:dyDescent="0.25"/>
  <cols>
    <col min="1" max="1" width="11.44140625" style="87" customWidth="1"/>
    <col min="2" max="2" width="41" style="87" customWidth="1"/>
    <col min="3" max="3" width="14.88671875" style="87" customWidth="1"/>
    <col min="4" max="4" width="16.44140625" style="87" customWidth="1"/>
    <col min="5" max="5" width="16.6640625" style="87" customWidth="1"/>
    <col min="6" max="6" width="17.6640625" style="87" customWidth="1"/>
    <col min="7" max="7" width="14.5546875" style="87" customWidth="1"/>
    <col min="8" max="8" width="12.33203125" style="87" customWidth="1"/>
    <col min="9" max="9" width="13.6640625" style="87" customWidth="1"/>
    <col min="10" max="15" width="15.109375" style="87" customWidth="1"/>
    <col min="16" max="16" width="14" style="90" customWidth="1"/>
    <col min="17" max="17" width="10.6640625" style="90" customWidth="1"/>
    <col min="18" max="18" width="11" style="90" customWidth="1"/>
    <col min="19" max="19" width="2.88671875" style="90" customWidth="1"/>
    <col min="20" max="22" width="10.6640625" style="90" customWidth="1"/>
    <col min="23" max="23" width="2.44140625" style="90" customWidth="1"/>
    <col min="24" max="26" width="10.6640625" style="90" customWidth="1"/>
    <col min="27" max="27" width="9.109375" style="90" customWidth="1"/>
    <col min="28" max="28" width="19.109375" style="90" customWidth="1"/>
    <col min="29" max="29" width="12.109375" style="90" customWidth="1"/>
    <col min="30" max="31" width="9.109375" style="90"/>
    <col min="32" max="16384" width="9.109375" style="87"/>
  </cols>
  <sheetData>
    <row r="1" spans="1:32" ht="18" x14ac:dyDescent="0.3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89"/>
      <c r="R1" s="89"/>
      <c r="S1" s="89"/>
      <c r="T1" s="89"/>
      <c r="U1" s="89"/>
      <c r="V1" s="89"/>
    </row>
    <row r="2" spans="1:32" x14ac:dyDescent="0.25">
      <c r="B2" s="91"/>
      <c r="C2" s="91"/>
      <c r="D2" s="91"/>
      <c r="E2" s="91"/>
      <c r="F2" s="91"/>
      <c r="G2" s="91"/>
      <c r="H2" s="91"/>
      <c r="I2" s="91"/>
      <c r="J2" s="91"/>
      <c r="K2" s="92"/>
      <c r="L2" s="93"/>
      <c r="M2" s="94"/>
      <c r="N2" s="92"/>
      <c r="O2" s="92"/>
      <c r="P2" s="95"/>
      <c r="Q2" s="95"/>
      <c r="R2" s="95"/>
      <c r="S2" s="95"/>
      <c r="T2" s="96"/>
      <c r="U2" s="95"/>
      <c r="V2" s="95"/>
      <c r="X2" s="96"/>
      <c r="Y2" s="95"/>
      <c r="Z2" s="95"/>
    </row>
    <row r="3" spans="1:32" x14ac:dyDescent="0.25">
      <c r="B3" s="98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98"/>
      <c r="Q3" s="98"/>
      <c r="R3" s="98"/>
      <c r="S3" s="95"/>
      <c r="T3" s="98"/>
      <c r="U3" s="98"/>
      <c r="V3" s="98"/>
      <c r="W3" s="98"/>
      <c r="X3" s="98"/>
      <c r="Y3" s="98"/>
      <c r="Z3" s="98"/>
    </row>
    <row r="4" spans="1:32" x14ac:dyDescent="0.25">
      <c r="A4" s="99"/>
      <c r="B4" s="99"/>
      <c r="C4" s="99"/>
      <c r="D4" s="99"/>
      <c r="E4" s="101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32" x14ac:dyDescent="0.25">
      <c r="A5" s="99"/>
      <c r="B5" s="99"/>
      <c r="C5" s="99"/>
      <c r="D5" s="99"/>
      <c r="E5" s="99"/>
      <c r="F5" s="284"/>
      <c r="G5" s="99"/>
      <c r="H5" s="99"/>
      <c r="I5" s="99"/>
      <c r="J5" s="99"/>
      <c r="K5" s="99"/>
      <c r="L5" s="99"/>
      <c r="M5" s="99"/>
      <c r="N5" s="99"/>
      <c r="O5" s="99"/>
      <c r="P5" s="100"/>
      <c r="Q5" s="100"/>
      <c r="R5" s="100"/>
    </row>
    <row r="6" spans="1:32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1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32" x14ac:dyDescent="0.25">
      <c r="A7" s="99"/>
      <c r="B7" s="103" t="s">
        <v>52</v>
      </c>
      <c r="C7" s="103"/>
      <c r="D7" s="103"/>
      <c r="E7" s="103"/>
      <c r="F7" s="103"/>
      <c r="G7" s="103"/>
      <c r="H7" s="103"/>
      <c r="I7" s="103"/>
      <c r="J7" s="103"/>
      <c r="K7" s="99"/>
      <c r="L7" s="99"/>
      <c r="M7" s="99"/>
      <c r="N7" s="99"/>
      <c r="O7" s="99"/>
      <c r="P7" s="104"/>
      <c r="Q7" s="104"/>
      <c r="R7" s="102"/>
      <c r="S7" s="104"/>
      <c r="T7" s="105"/>
      <c r="U7" s="104"/>
      <c r="V7" s="105"/>
      <c r="W7" s="102"/>
      <c r="X7" s="102"/>
      <c r="Y7" s="104"/>
      <c r="Z7" s="102"/>
    </row>
    <row r="8" spans="1:32" s="111" customFormat="1" ht="13.8" x14ac:dyDescent="0.3">
      <c r="A8" s="106"/>
      <c r="B8" s="106"/>
      <c r="C8" s="107">
        <v>2021</v>
      </c>
      <c r="D8" s="107">
        <v>2020</v>
      </c>
      <c r="E8" s="107">
        <v>2019</v>
      </c>
      <c r="F8" s="107">
        <v>2018</v>
      </c>
      <c r="G8" s="107">
        <v>2017</v>
      </c>
      <c r="H8" s="107">
        <v>2016</v>
      </c>
      <c r="I8" s="107">
        <v>2015</v>
      </c>
      <c r="J8" s="107">
        <v>2014</v>
      </c>
      <c r="K8" s="107">
        <v>2013</v>
      </c>
      <c r="L8" s="107">
        <v>2012</v>
      </c>
      <c r="M8" s="107">
        <v>2011</v>
      </c>
      <c r="N8" s="107">
        <v>2010</v>
      </c>
      <c r="O8" s="107">
        <v>2009</v>
      </c>
      <c r="P8" s="108">
        <v>2008</v>
      </c>
      <c r="Q8" s="104"/>
      <c r="R8" s="104"/>
      <c r="S8" s="102"/>
      <c r="T8" s="104"/>
      <c r="U8" s="105"/>
      <c r="V8" s="104"/>
      <c r="W8" s="105"/>
      <c r="X8" s="102"/>
      <c r="Y8" s="102"/>
      <c r="Z8" s="104"/>
      <c r="AA8" s="109"/>
      <c r="AB8" s="110"/>
      <c r="AC8" s="90"/>
      <c r="AD8" s="90"/>
      <c r="AE8" s="90"/>
      <c r="AF8" s="90"/>
    </row>
    <row r="9" spans="1:32" s="111" customFormat="1" x14ac:dyDescent="0.25">
      <c r="A9" s="106"/>
      <c r="B9" s="113" t="s">
        <v>13</v>
      </c>
      <c r="C9" s="113"/>
      <c r="D9" s="113"/>
      <c r="E9" s="113"/>
      <c r="F9" s="113"/>
      <c r="G9" s="113"/>
      <c r="H9" s="113"/>
      <c r="I9" s="113"/>
      <c r="J9" s="113"/>
      <c r="K9" s="113"/>
      <c r="L9" s="186"/>
      <c r="M9" s="112"/>
      <c r="N9" s="112"/>
      <c r="O9" s="112"/>
      <c r="P9" s="113"/>
      <c r="Q9" s="104"/>
      <c r="R9" s="104"/>
      <c r="S9" s="102"/>
      <c r="T9" s="104"/>
      <c r="U9" s="105"/>
      <c r="V9" s="104"/>
      <c r="W9" s="105"/>
      <c r="X9" s="102"/>
      <c r="Y9" s="102"/>
      <c r="Z9" s="104"/>
      <c r="AA9" s="114"/>
      <c r="AB9" s="110"/>
      <c r="AC9" s="90"/>
      <c r="AD9" s="90"/>
      <c r="AE9" s="90"/>
      <c r="AF9" s="90"/>
    </row>
    <row r="10" spans="1:32" s="111" customFormat="1" x14ac:dyDescent="0.25">
      <c r="A10" s="10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87"/>
      <c r="M10" s="115"/>
      <c r="N10" s="115"/>
      <c r="O10" s="115"/>
      <c r="P10" s="116"/>
      <c r="Q10" s="104"/>
      <c r="R10" s="104"/>
      <c r="S10" s="102"/>
      <c r="T10" s="104"/>
      <c r="U10" s="105"/>
      <c r="V10" s="104"/>
      <c r="W10" s="105"/>
      <c r="X10" s="102"/>
      <c r="Y10" s="102"/>
      <c r="Z10" s="104"/>
      <c r="AA10" s="114"/>
      <c r="AB10" s="110"/>
      <c r="AC10" s="90"/>
      <c r="AD10" s="90"/>
      <c r="AE10" s="90"/>
      <c r="AF10" s="90"/>
    </row>
    <row r="11" spans="1:32" x14ac:dyDescent="0.25">
      <c r="A11" s="99"/>
      <c r="B11" s="138" t="s">
        <v>12</v>
      </c>
      <c r="C11" s="296">
        <v>45.16592948818144</v>
      </c>
      <c r="D11" s="296">
        <v>42.010101187361286</v>
      </c>
      <c r="E11" s="132">
        <v>64.27804366108478</v>
      </c>
      <c r="F11" s="118">
        <v>61.925072734266799</v>
      </c>
      <c r="G11" s="118">
        <v>59.344744485698172</v>
      </c>
      <c r="H11" s="248">
        <v>53.788653399265542</v>
      </c>
      <c r="I11" s="55">
        <v>49.076363648265549</v>
      </c>
      <c r="J11" s="235">
        <v>48.641020909670999</v>
      </c>
      <c r="K11" s="130">
        <v>47.913859658956397</v>
      </c>
      <c r="L11" s="188">
        <v>47.214966159138712</v>
      </c>
      <c r="M11" s="118">
        <v>42.836228725552083</v>
      </c>
      <c r="N11" s="118">
        <v>38.468322631518227</v>
      </c>
      <c r="O11" s="118">
        <v>35.328633883063347</v>
      </c>
      <c r="P11" s="119">
        <v>32.578360312643575</v>
      </c>
      <c r="Q11" s="104"/>
      <c r="R11" s="104"/>
      <c r="S11" s="102"/>
      <c r="T11" s="104"/>
      <c r="U11" s="105"/>
      <c r="V11" s="104"/>
      <c r="W11" s="105"/>
      <c r="X11" s="102"/>
      <c r="Y11" s="102"/>
      <c r="Z11" s="104"/>
      <c r="AA11" s="102"/>
      <c r="AD11" s="120"/>
      <c r="AE11" s="120"/>
      <c r="AF11" s="120"/>
    </row>
    <row r="12" spans="1:32" x14ac:dyDescent="0.25">
      <c r="A12" s="99"/>
      <c r="B12" s="138" t="s">
        <v>33</v>
      </c>
      <c r="C12" s="61">
        <v>632.32301283454012</v>
      </c>
      <c r="D12" s="61">
        <f t="shared" ref="D12:J12" si="0">D11*14</f>
        <v>588.14141662305803</v>
      </c>
      <c r="E12" s="61">
        <f t="shared" si="0"/>
        <v>899.89261125518692</v>
      </c>
      <c r="F12" s="61">
        <f t="shared" si="0"/>
        <v>866.95101827973519</v>
      </c>
      <c r="G12" s="61">
        <f t="shared" si="0"/>
        <v>830.82642279977438</v>
      </c>
      <c r="H12" s="61">
        <f t="shared" si="0"/>
        <v>753.04114758971764</v>
      </c>
      <c r="I12" s="61">
        <f t="shared" si="0"/>
        <v>687.06909107571767</v>
      </c>
      <c r="J12" s="61">
        <f t="shared" si="0"/>
        <v>680.97429273539399</v>
      </c>
      <c r="K12" s="130">
        <v>670.79403522538951</v>
      </c>
      <c r="L12" s="188">
        <v>661.00952622794193</v>
      </c>
      <c r="M12" s="118">
        <v>599.70720215772917</v>
      </c>
      <c r="N12" s="118">
        <v>538.55651684125519</v>
      </c>
      <c r="O12" s="118">
        <v>494.60087436288688</v>
      </c>
      <c r="P12" s="119">
        <v>456.09704437701004</v>
      </c>
      <c r="Q12" s="104"/>
      <c r="R12" s="104"/>
      <c r="S12" s="102"/>
      <c r="T12" s="104"/>
      <c r="U12" s="105"/>
      <c r="V12" s="104"/>
      <c r="W12" s="105"/>
      <c r="X12" s="102"/>
      <c r="Y12" s="102"/>
      <c r="Z12" s="104"/>
      <c r="AA12" s="121"/>
      <c r="AF12" s="90"/>
    </row>
    <row r="13" spans="1:32" x14ac:dyDescent="0.25">
      <c r="A13" s="99"/>
      <c r="B13" s="189" t="s">
        <v>17</v>
      </c>
      <c r="C13" s="185">
        <v>50.975449963004884</v>
      </c>
      <c r="D13" s="185">
        <v>47.228524146170678</v>
      </c>
      <c r="E13" s="185">
        <v>45.481333716999906</v>
      </c>
      <c r="F13" s="124">
        <v>43.935078749399899</v>
      </c>
      <c r="G13" s="124">
        <v>39.786728956199902</v>
      </c>
      <c r="H13" s="249">
        <v>37.001163739899901</v>
      </c>
      <c r="I13" s="49">
        <f>34.713024-H99</f>
        <v>34.713023999999997</v>
      </c>
      <c r="J13" s="49">
        <v>33.175665000000002</v>
      </c>
      <c r="K13" s="203">
        <v>31.778051999999999</v>
      </c>
      <c r="L13" s="190">
        <v>30.004698000000001</v>
      </c>
      <c r="M13" s="124">
        <v>28.673165999999998</v>
      </c>
      <c r="N13" s="124">
        <v>27.757085</v>
      </c>
      <c r="O13" s="124">
        <v>27.188147000000001</v>
      </c>
      <c r="P13" s="179">
        <v>27.176102</v>
      </c>
      <c r="Q13" s="104"/>
      <c r="R13" s="104"/>
      <c r="S13" s="102"/>
      <c r="T13" s="104"/>
      <c r="U13" s="105"/>
      <c r="V13" s="104"/>
      <c r="W13" s="105"/>
      <c r="X13" s="102"/>
      <c r="Y13" s="102"/>
      <c r="Z13" s="104"/>
      <c r="AA13" s="126"/>
      <c r="AF13" s="90"/>
    </row>
    <row r="14" spans="1:32" x14ac:dyDescent="0.25">
      <c r="A14" s="99"/>
      <c r="B14" s="138" t="s">
        <v>80</v>
      </c>
      <c r="C14" s="61">
        <v>3494.1934166235787</v>
      </c>
      <c r="D14" s="61">
        <v>3177.6418468123102</v>
      </c>
      <c r="E14" s="61">
        <f t="shared" ref="E14:J14" si="1">E13*45</f>
        <v>2046.6600172649958</v>
      </c>
      <c r="F14" s="61">
        <f t="shared" si="1"/>
        <v>1977.0785437229954</v>
      </c>
      <c r="G14" s="61">
        <f t="shared" si="1"/>
        <v>1790.4028030289955</v>
      </c>
      <c r="H14" s="61">
        <f t="shared" si="1"/>
        <v>1665.0523682954956</v>
      </c>
      <c r="I14" s="61">
        <f t="shared" si="1"/>
        <v>1562.0860799999998</v>
      </c>
      <c r="J14" s="61">
        <f t="shared" si="1"/>
        <v>1492.904925</v>
      </c>
      <c r="K14" s="130">
        <v>1430.01234</v>
      </c>
      <c r="L14" s="188">
        <v>1350.2114100000001</v>
      </c>
      <c r="M14" s="118">
        <v>1290.2924699999999</v>
      </c>
      <c r="N14" s="118">
        <v>1249.0688250000001</v>
      </c>
      <c r="O14" s="180">
        <v>1223.466615</v>
      </c>
      <c r="P14" s="191">
        <v>1222.9245900000001</v>
      </c>
      <c r="Q14" s="104"/>
      <c r="R14" s="104"/>
      <c r="S14" s="102"/>
      <c r="T14" s="104"/>
      <c r="U14" s="105"/>
      <c r="V14" s="104"/>
      <c r="W14" s="105"/>
      <c r="X14" s="102"/>
      <c r="Y14" s="102"/>
      <c r="Z14" s="104"/>
      <c r="AA14" s="121"/>
      <c r="AF14" s="90"/>
    </row>
    <row r="15" spans="1:32" x14ac:dyDescent="0.25">
      <c r="A15" s="99"/>
      <c r="B15" s="138" t="s">
        <v>98</v>
      </c>
      <c r="C15" s="181">
        <f>C12/C14</f>
        <v>0.18096394144247191</v>
      </c>
      <c r="D15" s="181">
        <f>D12/D14</f>
        <v>0.18508738397093405</v>
      </c>
      <c r="E15" s="181">
        <f>E12/E14</f>
        <v>0.43968837211064321</v>
      </c>
      <c r="F15" s="181">
        <f>F12/F14</f>
        <v>0.43850105046772586</v>
      </c>
      <c r="G15" s="181">
        <f>G12/G14</f>
        <v>0.46404441581200939</v>
      </c>
      <c r="H15" s="205">
        <v>0.45226274075727807</v>
      </c>
      <c r="I15" s="181">
        <f>I12/I14</f>
        <v>0.43984073597001627</v>
      </c>
      <c r="J15" s="181">
        <f>J12/J14</f>
        <v>0.45614042885912104</v>
      </c>
      <c r="K15" s="205">
        <v>0.46908269003146469</v>
      </c>
      <c r="L15" s="192">
        <v>0.48956002099548385</v>
      </c>
      <c r="M15" s="128">
        <v>0.46478392775378224</v>
      </c>
      <c r="N15" s="128">
        <v>0.43116640657591881</v>
      </c>
      <c r="O15" s="127">
        <v>0.40426184768669543</v>
      </c>
      <c r="P15" s="127">
        <v>0.37295598445445438</v>
      </c>
      <c r="Q15" s="104"/>
      <c r="R15" s="104"/>
      <c r="S15" s="102"/>
      <c r="T15" s="104"/>
      <c r="U15" s="105"/>
      <c r="V15" s="104"/>
      <c r="W15" s="105"/>
      <c r="X15" s="102"/>
      <c r="Y15" s="102"/>
      <c r="Z15" s="104"/>
      <c r="AA15" s="129"/>
      <c r="AF15" s="90"/>
    </row>
    <row r="16" spans="1:32" x14ac:dyDescent="0.25">
      <c r="A16" s="99"/>
      <c r="B16" s="138" t="s">
        <v>18</v>
      </c>
      <c r="C16" s="132">
        <v>2704.538</v>
      </c>
      <c r="D16" s="132">
        <v>2478.3809999999999</v>
      </c>
      <c r="E16" s="132">
        <v>2318.1770000000001</v>
      </c>
      <c r="F16" s="118">
        <v>2200.5569999999998</v>
      </c>
      <c r="G16" s="118">
        <v>2030.2260000000001</v>
      </c>
      <c r="H16" s="69">
        <v>1791.7139999999999</v>
      </c>
      <c r="I16" s="61">
        <f>1689.847-B99</f>
        <v>1689.847</v>
      </c>
      <c r="J16" s="61">
        <v>1625.3030000000001</v>
      </c>
      <c r="K16" s="130">
        <v>1532.8109999999999</v>
      </c>
      <c r="L16" s="201">
        <v>1373.2650000000001</v>
      </c>
      <c r="M16" s="131">
        <v>1204.0329999999999</v>
      </c>
      <c r="N16" s="118">
        <v>1119.3420000000001</v>
      </c>
      <c r="O16" s="118">
        <v>1082.2080000000001</v>
      </c>
      <c r="P16" s="130">
        <v>1151.498</v>
      </c>
      <c r="Q16" s="104"/>
      <c r="R16" s="104"/>
      <c r="S16" s="102"/>
      <c r="T16" s="104"/>
      <c r="U16" s="105"/>
      <c r="V16" s="104"/>
      <c r="W16" s="105"/>
      <c r="X16" s="102"/>
      <c r="Y16" s="102"/>
      <c r="Z16" s="104"/>
      <c r="AA16" s="102"/>
      <c r="AF16" s="90"/>
    </row>
    <row r="17" spans="1:32" x14ac:dyDescent="0.25">
      <c r="A17" s="99"/>
      <c r="B17" s="138" t="s">
        <v>19</v>
      </c>
      <c r="C17" s="132">
        <v>1589.058874610663</v>
      </c>
      <c r="D17" s="132">
        <v>1480.8450158296921</v>
      </c>
      <c r="E17" s="132">
        <v>1417.4053755550001</v>
      </c>
      <c r="F17" s="118">
        <v>1349.1895153779001</v>
      </c>
      <c r="G17" s="118">
        <v>1213.61733333333</v>
      </c>
      <c r="H17" s="69">
        <v>1147.5936899999999</v>
      </c>
      <c r="I17" s="61">
        <f>1082.13-I99</f>
        <v>1082.1300000000001</v>
      </c>
      <c r="J17" s="61">
        <v>1034.606</v>
      </c>
      <c r="K17" s="130">
        <v>991.97500000000002</v>
      </c>
      <c r="L17" s="188">
        <v>935.64300000000003</v>
      </c>
      <c r="M17" s="118">
        <v>885.36699999999996</v>
      </c>
      <c r="N17" s="133">
        <v>850.66200000000003</v>
      </c>
      <c r="O17" s="180">
        <v>838.48299999999995</v>
      </c>
      <c r="P17" s="130">
        <v>826.202</v>
      </c>
      <c r="Q17" s="104"/>
      <c r="R17" s="134"/>
      <c r="S17" s="134"/>
      <c r="T17" s="134"/>
      <c r="U17" s="134"/>
      <c r="V17" s="134"/>
      <c r="W17" s="134"/>
      <c r="X17" s="102"/>
      <c r="Y17" s="134"/>
      <c r="Z17" s="134"/>
      <c r="AA17" s="102"/>
      <c r="AF17" s="90"/>
    </row>
    <row r="18" spans="1:32" x14ac:dyDescent="0.25">
      <c r="A18" s="99"/>
      <c r="B18" s="138" t="s">
        <v>58</v>
      </c>
      <c r="C18" s="123">
        <v>32.079019083225873</v>
      </c>
      <c r="D18" s="123">
        <v>31.892955468880949</v>
      </c>
      <c r="E18" s="123">
        <v>32.087738978124875</v>
      </c>
      <c r="F18" s="124">
        <v>32.564052898894595</v>
      </c>
      <c r="G18" s="124">
        <v>32.783586607914856</v>
      </c>
      <c r="H18" s="123">
        <v>32.242390370671963</v>
      </c>
      <c r="I18" s="49">
        <v>32.086385977067245</v>
      </c>
      <c r="J18" s="49">
        <v>32.06598937179951</v>
      </c>
      <c r="K18" s="179">
        <v>32.035133949948339</v>
      </c>
      <c r="L18" s="190">
        <v>32.068532549273598</v>
      </c>
      <c r="M18" s="124">
        <v>32.38562765497246</v>
      </c>
      <c r="N18" s="124">
        <v>32.629981120586088</v>
      </c>
      <c r="O18" s="124">
        <v>32.42540039571464</v>
      </c>
      <c r="P18" s="125">
        <v>32.892805875560697</v>
      </c>
      <c r="Q18" s="104"/>
      <c r="R18" s="134"/>
      <c r="S18" s="134"/>
      <c r="T18" s="134"/>
      <c r="U18" s="134"/>
      <c r="V18" s="134"/>
      <c r="W18" s="134"/>
      <c r="X18" s="102"/>
      <c r="Y18" s="134"/>
      <c r="Z18" s="134"/>
      <c r="AA18" s="102"/>
      <c r="AF18" s="90"/>
    </row>
    <row r="19" spans="1:32" x14ac:dyDescent="0.25">
      <c r="A19" s="9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01"/>
      <c r="M19" s="135"/>
      <c r="N19" s="135"/>
      <c r="O19" s="135"/>
      <c r="P19" s="136"/>
      <c r="Q19" s="104"/>
      <c r="R19" s="134"/>
      <c r="S19" s="134"/>
      <c r="T19" s="134"/>
      <c r="U19" s="134"/>
      <c r="V19" s="134"/>
      <c r="W19" s="134"/>
      <c r="X19" s="102"/>
      <c r="Y19" s="134"/>
      <c r="Z19" s="134"/>
      <c r="AA19" s="102"/>
      <c r="AF19" s="90"/>
    </row>
    <row r="20" spans="1:32" x14ac:dyDescent="0.25">
      <c r="A20" s="99"/>
      <c r="B20" s="138"/>
      <c r="C20" s="138"/>
      <c r="D20" s="138"/>
      <c r="E20" s="138"/>
      <c r="F20" s="138"/>
      <c r="G20" s="136"/>
      <c r="H20" s="138"/>
      <c r="I20" s="138"/>
      <c r="J20" s="138"/>
      <c r="K20" s="138"/>
      <c r="L20" s="193"/>
      <c r="M20" s="136"/>
      <c r="N20" s="135"/>
      <c r="O20" s="135"/>
      <c r="P20" s="136"/>
      <c r="Q20" s="104"/>
      <c r="R20" s="134"/>
      <c r="S20" s="134"/>
      <c r="T20" s="134"/>
      <c r="U20" s="134"/>
      <c r="V20" s="134"/>
      <c r="W20" s="134"/>
      <c r="X20" s="102"/>
      <c r="Y20" s="134"/>
      <c r="Z20" s="134"/>
      <c r="AA20" s="102"/>
      <c r="AF20" s="90"/>
    </row>
    <row r="21" spans="1:32" x14ac:dyDescent="0.25">
      <c r="A21" s="99"/>
      <c r="B21" s="138" t="s">
        <v>6</v>
      </c>
      <c r="C21" s="176">
        <v>0.31393267154722593</v>
      </c>
      <c r="D21" s="176">
        <v>0.31367656654292525</v>
      </c>
      <c r="E21" s="176">
        <v>0.21860637984971132</v>
      </c>
      <c r="F21" s="139">
        <v>0.23264525292052127</v>
      </c>
      <c r="G21" s="139">
        <v>0.20158307360472832</v>
      </c>
      <c r="H21" s="184">
        <v>0.220062294508274</v>
      </c>
      <c r="I21" s="239">
        <v>0.24222496428674303</v>
      </c>
      <c r="J21" s="156">
        <v>0.22898526792111962</v>
      </c>
      <c r="K21" s="156">
        <v>0.223</v>
      </c>
      <c r="L21" s="194">
        <v>0.22503070504721598</v>
      </c>
      <c r="M21" s="140">
        <v>0.28251108221865745</v>
      </c>
      <c r="N21" s="139">
        <v>0.27576072622360703</v>
      </c>
      <c r="O21" s="139">
        <v>0.29908457917139153</v>
      </c>
      <c r="P21" s="140">
        <v>0.32697420679123584</v>
      </c>
      <c r="Q21" s="104"/>
      <c r="R21" s="102"/>
      <c r="S21" s="102"/>
      <c r="T21" s="102"/>
      <c r="U21" s="102"/>
      <c r="V21" s="102"/>
      <c r="W21" s="102"/>
      <c r="X21" s="102"/>
      <c r="Y21" s="102"/>
      <c r="Z21" s="102"/>
      <c r="AA21" s="134"/>
      <c r="AF21" s="90"/>
    </row>
    <row r="22" spans="1:32" ht="15" x14ac:dyDescent="0.35">
      <c r="A22" s="99"/>
      <c r="B22" s="195" t="s">
        <v>44</v>
      </c>
      <c r="C22" s="177">
        <v>5.8998554681587703E-3</v>
      </c>
      <c r="D22" s="177">
        <v>1.2312234055953684E-2</v>
      </c>
      <c r="E22" s="177">
        <v>2.4169550597445952E-2</v>
      </c>
      <c r="F22" s="146">
        <v>5.742490565764459E-2</v>
      </c>
      <c r="G22" s="146">
        <v>2.7779163597402956E-2</v>
      </c>
      <c r="H22" s="177">
        <v>3.3813506368347082E-2</v>
      </c>
      <c r="I22" s="240">
        <v>4.4912822049798774E-2</v>
      </c>
      <c r="J22" s="206">
        <v>4.737703920932005E-2</v>
      </c>
      <c r="K22" s="206">
        <v>7.17E-2</v>
      </c>
      <c r="L22" s="196">
        <v>5.9758770445281703E-2</v>
      </c>
      <c r="M22" s="143">
        <v>5.705788396575167E-2</v>
      </c>
      <c r="N22" s="146">
        <v>6.6038622768732569E-2</v>
      </c>
      <c r="O22" s="146">
        <v>7.3463924839221803E-2</v>
      </c>
      <c r="P22" s="142">
        <v>8.230343197250041E-2</v>
      </c>
      <c r="Q22" s="104"/>
      <c r="R22" s="144"/>
      <c r="S22" s="145"/>
      <c r="T22" s="145"/>
      <c r="U22" s="145"/>
      <c r="V22" s="145"/>
      <c r="W22" s="145"/>
      <c r="X22" s="102"/>
      <c r="Y22" s="102"/>
      <c r="Z22" s="102"/>
      <c r="AA22" s="145"/>
      <c r="AF22" s="90"/>
    </row>
    <row r="23" spans="1:32" ht="15" x14ac:dyDescent="0.35">
      <c r="A23" s="99"/>
      <c r="B23" s="303" t="s">
        <v>14</v>
      </c>
      <c r="C23" s="146">
        <v>1.6302240533348052E-2</v>
      </c>
      <c r="D23" s="146">
        <v>9.3349422108777197E-2</v>
      </c>
      <c r="E23" s="146">
        <v>0.21447003518653188</v>
      </c>
      <c r="F23" s="304"/>
      <c r="G23" s="146">
        <v>0.12638018859121503</v>
      </c>
      <c r="H23" s="146">
        <v>0.14646875585952376</v>
      </c>
      <c r="I23" s="305">
        <v>0.21391444022912681</v>
      </c>
      <c r="J23" s="142">
        <v>0.21582899899570804</v>
      </c>
      <c r="K23" s="142">
        <v>0.27800000000000002</v>
      </c>
      <c r="L23" s="306">
        <v>0.23811305851850012</v>
      </c>
      <c r="M23" s="146">
        <v>0.38557530080455849</v>
      </c>
      <c r="N23" s="146">
        <v>0.43473605734964382</v>
      </c>
      <c r="O23" s="146">
        <v>0.60847392854949356</v>
      </c>
      <c r="P23" s="142">
        <v>0.82265816047643658</v>
      </c>
      <c r="Q23" s="104"/>
      <c r="R23" s="145"/>
      <c r="S23" s="145"/>
      <c r="T23" s="145"/>
      <c r="U23" s="145"/>
      <c r="V23" s="145"/>
      <c r="W23" s="145"/>
      <c r="X23" s="102"/>
      <c r="Y23" s="102"/>
      <c r="Z23" s="102"/>
      <c r="AA23" s="145"/>
      <c r="AF23" s="90"/>
    </row>
    <row r="24" spans="1:32" ht="15" x14ac:dyDescent="0.35">
      <c r="A24" s="99"/>
      <c r="B24" s="303" t="s">
        <v>45</v>
      </c>
      <c r="C24" s="307">
        <v>1.3718247942796004E-3</v>
      </c>
      <c r="D24" s="307">
        <v>2.156067809815052E-3</v>
      </c>
      <c r="E24" s="307">
        <v>2.5210702295830239E-3</v>
      </c>
      <c r="F24" s="307"/>
      <c r="G24" s="307">
        <v>9.6169305413696012E-4</v>
      </c>
      <c r="H24" s="146">
        <v>1.6321659233591655E-2</v>
      </c>
      <c r="I24" s="305">
        <v>1.8760822483280652E-2</v>
      </c>
      <c r="J24" s="142">
        <v>1.7772141510193538E-2</v>
      </c>
      <c r="K24" s="142">
        <v>1.9E-2</v>
      </c>
      <c r="L24" s="306">
        <v>1.8470930471567365E-2</v>
      </c>
      <c r="M24" s="146">
        <v>2.2349034258022746E-2</v>
      </c>
      <c r="N24" s="142">
        <v>2.3782392849665351E-2</v>
      </c>
      <c r="O24" s="146">
        <v>2.7494151371480882E-2</v>
      </c>
      <c r="P24" s="142">
        <v>3.6995757025281691E-2</v>
      </c>
      <c r="Q24" s="104"/>
      <c r="R24" s="147"/>
      <c r="S24" s="147"/>
      <c r="T24" s="147"/>
      <c r="W24" s="148"/>
      <c r="AA24" s="149"/>
      <c r="AF24" s="90"/>
    </row>
    <row r="25" spans="1:32" x14ac:dyDescent="0.25">
      <c r="A25" s="99"/>
      <c r="B25" s="138"/>
      <c r="C25" s="138"/>
      <c r="D25" s="138"/>
      <c r="E25" s="138"/>
      <c r="F25" s="138"/>
      <c r="G25" s="136"/>
      <c r="H25" s="138"/>
      <c r="I25" s="138"/>
      <c r="J25" s="138"/>
      <c r="K25" s="138"/>
      <c r="L25" s="197"/>
      <c r="M25" s="117"/>
      <c r="N25" s="117"/>
      <c r="O25" s="117"/>
      <c r="P25" s="138"/>
      <c r="Q25" s="104"/>
      <c r="R25" s="147"/>
      <c r="S25" s="147"/>
      <c r="T25" s="147"/>
      <c r="W25" s="148"/>
      <c r="AA25" s="102"/>
      <c r="AF25" s="90"/>
    </row>
    <row r="26" spans="1:32" x14ac:dyDescent="0.25">
      <c r="A26" s="99"/>
      <c r="B26" s="183" t="s">
        <v>2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98"/>
      <c r="M26" s="150"/>
      <c r="N26" s="150"/>
      <c r="O26" s="150"/>
      <c r="P26" s="183"/>
      <c r="Q26" s="104"/>
      <c r="AA26" s="102"/>
      <c r="AF26" s="90"/>
    </row>
    <row r="27" spans="1:32" x14ac:dyDescent="0.25">
      <c r="A27" s="99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99"/>
      <c r="M27" s="117"/>
      <c r="N27" s="117"/>
      <c r="O27" s="117"/>
      <c r="P27" s="138"/>
      <c r="Q27" s="104"/>
      <c r="Z27" s="120"/>
      <c r="AA27" s="102"/>
      <c r="AF27" s="90"/>
    </row>
    <row r="28" spans="1:32" x14ac:dyDescent="0.25">
      <c r="A28" s="99"/>
      <c r="B28" s="138" t="s">
        <v>25</v>
      </c>
      <c r="C28" s="321">
        <v>494.75482185506615</v>
      </c>
      <c r="D28" s="321">
        <v>504.75909532165241</v>
      </c>
      <c r="E28" s="321">
        <v>916.06672064379813</v>
      </c>
      <c r="F28" s="321">
        <v>878.43614618807578</v>
      </c>
      <c r="G28" s="321">
        <v>849.67660306445043</v>
      </c>
      <c r="H28" s="321">
        <v>680.93276291067446</v>
      </c>
      <c r="I28" s="321">
        <v>679.97831569356879</v>
      </c>
      <c r="J28" s="321">
        <v>660.48034425745345</v>
      </c>
      <c r="K28" s="321">
        <v>629.12116494267241</v>
      </c>
      <c r="L28" s="321">
        <v>620.40180317020213</v>
      </c>
      <c r="M28" s="321">
        <v>638.54087498876936</v>
      </c>
      <c r="N28" s="321">
        <v>589.34603609234875</v>
      </c>
      <c r="O28" s="321">
        <v>580.88557139209752</v>
      </c>
      <c r="P28" s="321">
        <v>565.17116852973686</v>
      </c>
      <c r="Q28" s="104"/>
      <c r="AA28" s="121"/>
      <c r="AD28" s="153"/>
      <c r="AF28" s="90"/>
    </row>
    <row r="29" spans="1:32" x14ac:dyDescent="0.25">
      <c r="A29" s="99"/>
      <c r="B29" s="138" t="s">
        <v>41</v>
      </c>
      <c r="C29" s="321">
        <v>1771.588900945676</v>
      </c>
      <c r="D29" s="321">
        <v>1612.9248075811677</v>
      </c>
      <c r="E29" s="321">
        <v>973.93376571507804</v>
      </c>
      <c r="F29" s="321">
        <v>822.06158677769884</v>
      </c>
      <c r="G29" s="321">
        <v>721.04531019863691</v>
      </c>
      <c r="H29" s="321">
        <v>803.79175042125348</v>
      </c>
      <c r="I29" s="321">
        <v>771.49937118417665</v>
      </c>
      <c r="J29" s="321">
        <v>749.60436925193108</v>
      </c>
      <c r="K29" s="321">
        <v>732.88942104974672</v>
      </c>
      <c r="L29" s="321">
        <v>684.06020960935052</v>
      </c>
      <c r="M29" s="321">
        <v>590.44793208518558</v>
      </c>
      <c r="N29" s="321">
        <v>558.63336781644614</v>
      </c>
      <c r="O29" s="321">
        <v>549.59265552670104</v>
      </c>
      <c r="P29" s="321">
        <v>530.49223715208143</v>
      </c>
      <c r="Q29" s="104"/>
      <c r="R29" s="154"/>
      <c r="S29" s="154"/>
      <c r="AA29" s="121"/>
      <c r="AF29" s="90"/>
    </row>
    <row r="30" spans="1:32" x14ac:dyDescent="0.25">
      <c r="A30" s="99"/>
      <c r="B30" s="138" t="s">
        <v>26</v>
      </c>
      <c r="C30" s="321">
        <v>2269.3849058128508</v>
      </c>
      <c r="D30" s="321">
        <v>2119.8511937880098</v>
      </c>
      <c r="E30" s="321">
        <v>1894.1897264310783</v>
      </c>
      <c r="F30" s="321">
        <v>1703.4366480949261</v>
      </c>
      <c r="G30" s="321">
        <v>1574.5619060275928</v>
      </c>
      <c r="H30" s="321">
        <v>1488.6808618899613</v>
      </c>
      <c r="I30" s="321">
        <v>1455.1129163520002</v>
      </c>
      <c r="J30" s="321">
        <v>1414.7834525025537</v>
      </c>
      <c r="K30" s="321">
        <v>1367.7282168925965</v>
      </c>
      <c r="L30" s="321">
        <v>1309.2840575079872</v>
      </c>
      <c r="M30" s="321">
        <v>1233.8418617363345</v>
      </c>
      <c r="N30" s="321">
        <v>1152.739377850163</v>
      </c>
      <c r="O30" s="321">
        <v>1135.6439666295882</v>
      </c>
      <c r="P30" s="321">
        <v>1102.1465352272726</v>
      </c>
      <c r="Q30" s="104"/>
      <c r="S30" s="155"/>
      <c r="Z30" s="153"/>
      <c r="AA30" s="121"/>
      <c r="AF30" s="90"/>
    </row>
    <row r="31" spans="1:32" x14ac:dyDescent="0.25">
      <c r="A31" s="99"/>
      <c r="B31" s="138"/>
      <c r="C31" s="343"/>
      <c r="D31" s="343"/>
      <c r="E31" s="343"/>
      <c r="F31" s="343"/>
      <c r="G31" s="343"/>
      <c r="H31" s="343"/>
      <c r="I31" s="343"/>
      <c r="J31" s="343"/>
      <c r="K31" s="341"/>
      <c r="L31" s="344"/>
      <c r="M31" s="342"/>
      <c r="N31" s="342"/>
      <c r="O31" s="342"/>
      <c r="P31" s="343"/>
      <c r="Q31" s="104"/>
      <c r="AA31" s="102"/>
      <c r="AF31" s="90"/>
    </row>
    <row r="32" spans="1:32" x14ac:dyDescent="0.25">
      <c r="A32" s="99"/>
      <c r="B32" s="138" t="s">
        <v>35</v>
      </c>
      <c r="C32" s="343"/>
      <c r="D32" s="343"/>
      <c r="E32" s="343"/>
      <c r="F32" s="343"/>
      <c r="G32" s="343"/>
      <c r="H32" s="343"/>
      <c r="I32" s="343"/>
      <c r="J32" s="343"/>
      <c r="K32" s="341"/>
      <c r="L32" s="344"/>
      <c r="M32" s="342"/>
      <c r="N32" s="342"/>
      <c r="O32" s="342"/>
      <c r="P32" s="343"/>
      <c r="Q32" s="104"/>
      <c r="AA32" s="102"/>
      <c r="AF32" s="90"/>
    </row>
    <row r="33" spans="1:32" x14ac:dyDescent="0.25">
      <c r="A33" s="99"/>
      <c r="B33" s="138" t="s">
        <v>7</v>
      </c>
      <c r="C33" s="336">
        <v>839.10261412960392</v>
      </c>
      <c r="D33" s="336">
        <v>855.33709053935206</v>
      </c>
      <c r="E33" s="336">
        <v>817.10314891014718</v>
      </c>
      <c r="F33" s="336">
        <v>774.09339912346115</v>
      </c>
      <c r="G33" s="336">
        <v>775.55991600323944</v>
      </c>
      <c r="H33" s="336">
        <v>830.86969342761256</v>
      </c>
      <c r="I33" s="336">
        <v>861.09151677755449</v>
      </c>
      <c r="J33" s="336">
        <v>870.47366091279821</v>
      </c>
      <c r="K33" s="336">
        <v>892.30062733931095</v>
      </c>
      <c r="L33" s="336">
        <v>953.4096168678202</v>
      </c>
      <c r="M33" s="336">
        <v>1024.7575122412215</v>
      </c>
      <c r="N33" s="336">
        <v>1029.8366163783392</v>
      </c>
      <c r="O33" s="336">
        <v>1049.3767987573444</v>
      </c>
      <c r="P33" s="336">
        <v>957.1415106472374</v>
      </c>
      <c r="Q33" s="104"/>
      <c r="AA33" s="102"/>
      <c r="AF33" s="90"/>
    </row>
    <row r="34" spans="1:32" x14ac:dyDescent="0.25">
      <c r="A34" s="99"/>
      <c r="B34" s="138" t="s">
        <v>15</v>
      </c>
      <c r="C34" s="319">
        <v>0.64947317885045575</v>
      </c>
      <c r="D34" s="319">
        <v>0.66711457614852476</v>
      </c>
      <c r="E34" s="319">
        <v>0.92550287319450963</v>
      </c>
      <c r="F34" s="319">
        <v>0.86159280495109725</v>
      </c>
      <c r="G34" s="319">
        <v>0.87944562160188533</v>
      </c>
      <c r="H34" s="319">
        <v>0.89407449893838187</v>
      </c>
      <c r="I34" s="319">
        <v>0.93151903405476888</v>
      </c>
      <c r="J34" s="319">
        <v>0.94767150192270522</v>
      </c>
      <c r="K34" s="319">
        <v>0.95644504500751126</v>
      </c>
      <c r="L34" s="319">
        <v>0.96968818942804458</v>
      </c>
      <c r="M34" s="319">
        <v>0.95624975765094145</v>
      </c>
      <c r="N34" s="319">
        <v>0.92287899175624921</v>
      </c>
      <c r="O34" s="319">
        <v>0.92821818977838488</v>
      </c>
      <c r="P34" s="319">
        <v>0.90123834637037803</v>
      </c>
      <c r="Q34" s="104"/>
      <c r="AA34" s="102"/>
      <c r="AF34" s="90"/>
    </row>
    <row r="35" spans="1:32" x14ac:dyDescent="0.25">
      <c r="A35" s="99"/>
      <c r="B35" s="138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104"/>
      <c r="AA35" s="102"/>
      <c r="AF35" s="90"/>
    </row>
    <row r="36" spans="1:32" x14ac:dyDescent="0.25">
      <c r="A36" s="99"/>
      <c r="B36" s="117" t="s">
        <v>36</v>
      </c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104"/>
      <c r="AA36" s="102"/>
      <c r="AF36" s="90"/>
    </row>
    <row r="37" spans="1:32" x14ac:dyDescent="0.25">
      <c r="A37" s="99"/>
      <c r="B37" s="138" t="s">
        <v>8</v>
      </c>
      <c r="C37" s="319">
        <v>10.954160081760934</v>
      </c>
      <c r="D37" s="319">
        <v>12.015183992784785</v>
      </c>
      <c r="E37" s="319">
        <v>14.251627281531645</v>
      </c>
      <c r="F37" s="319">
        <v>14.185468137560784</v>
      </c>
      <c r="G37" s="319">
        <v>14.317638578243754</v>
      </c>
      <c r="H37" s="319">
        <v>12.659412717701022</v>
      </c>
      <c r="I37" s="319">
        <v>13.855515469056161</v>
      </c>
      <c r="J37" s="319">
        <v>13.578669442074439</v>
      </c>
      <c r="K37" s="319">
        <v>13.130254365243411</v>
      </c>
      <c r="L37" s="319">
        <v>13.139939592016843</v>
      </c>
      <c r="M37" s="319">
        <v>14.906561431442626</v>
      </c>
      <c r="N37" s="319">
        <v>15.320294615847903</v>
      </c>
      <c r="O37" s="319">
        <v>16.442344567152251</v>
      </c>
      <c r="P37" s="319">
        <v>17.348054447982619</v>
      </c>
      <c r="Q37" s="104"/>
      <c r="AA37" s="134"/>
      <c r="AF37" s="90"/>
    </row>
    <row r="38" spans="1:32" x14ac:dyDescent="0.25">
      <c r="A38" s="99"/>
      <c r="B38" s="138" t="s">
        <v>9</v>
      </c>
      <c r="C38" s="319">
        <v>0.78244000584006668</v>
      </c>
      <c r="D38" s="319">
        <v>0.85822742805605601</v>
      </c>
      <c r="E38" s="319">
        <v>1.0179733772522603</v>
      </c>
      <c r="F38" s="319">
        <v>1.0132477241114846</v>
      </c>
      <c r="G38" s="319">
        <v>1.022688469874554</v>
      </c>
      <c r="H38" s="319">
        <v>0.90424376555007291</v>
      </c>
      <c r="I38" s="319">
        <v>0.98967967636115439</v>
      </c>
      <c r="J38" s="319">
        <v>0.96990496014817429</v>
      </c>
      <c r="K38" s="319">
        <v>0.93787531180310091</v>
      </c>
      <c r="L38" s="319">
        <v>0.93856711371548873</v>
      </c>
      <c r="M38" s="319">
        <v>1.0647543879601875</v>
      </c>
      <c r="N38" s="319">
        <v>1.0943067582748502</v>
      </c>
      <c r="O38" s="319">
        <v>1.1744531833680179</v>
      </c>
      <c r="P38" s="319">
        <v>1.239146746284473</v>
      </c>
      <c r="Q38" s="134"/>
      <c r="S38" s="157"/>
      <c r="AA38" s="134"/>
      <c r="AF38" s="90"/>
    </row>
    <row r="39" spans="1:32" x14ac:dyDescent="0.25">
      <c r="A39" s="99"/>
      <c r="B39" s="138" t="s">
        <v>81</v>
      </c>
      <c r="C39" s="319">
        <v>0.1415934273990892</v>
      </c>
      <c r="D39" s="319">
        <v>0.15884706951099842</v>
      </c>
      <c r="E39" s="319">
        <v>0.4475910570960201</v>
      </c>
      <c r="F39" s="319">
        <v>0.44431019140691852</v>
      </c>
      <c r="G39" s="319">
        <v>0.47457287356061512</v>
      </c>
      <c r="H39" s="319">
        <v>0.40895576372035752</v>
      </c>
      <c r="I39" s="319">
        <v>0.43530143722525771</v>
      </c>
      <c r="J39" s="319">
        <v>0.44241286447457695</v>
      </c>
      <c r="K39" s="319">
        <v>0.43994107417469724</v>
      </c>
      <c r="L39" s="319">
        <v>0.45948493589622535</v>
      </c>
      <c r="M39" s="319">
        <v>0.49488072652921039</v>
      </c>
      <c r="N39" s="319">
        <v>0.47182831265710978</v>
      </c>
      <c r="O39" s="319">
        <v>0.4747866139298762</v>
      </c>
      <c r="P39" s="319">
        <v>0.46214719464405962</v>
      </c>
      <c r="Q39" s="134"/>
      <c r="AA39" s="134"/>
      <c r="AF39" s="90"/>
    </row>
    <row r="40" spans="1:32" x14ac:dyDescent="0.25">
      <c r="A40" s="99"/>
      <c r="B40" s="138" t="s">
        <v>10</v>
      </c>
      <c r="C40" s="319">
        <v>50.245504333231537</v>
      </c>
      <c r="D40" s="319">
        <v>50.460511493025535</v>
      </c>
      <c r="E40" s="319">
        <v>29.468689750709679</v>
      </c>
      <c r="F40" s="319">
        <v>27.508028216692171</v>
      </c>
      <c r="G40" s="319">
        <v>26.532457417641346</v>
      </c>
      <c r="H40" s="319">
        <v>27.676485054193392</v>
      </c>
      <c r="I40" s="319">
        <v>29.649974207154337</v>
      </c>
      <c r="J40" s="319">
        <v>29.086220355651722</v>
      </c>
      <c r="K40" s="319">
        <v>28.545565450745965</v>
      </c>
      <c r="L40" s="319">
        <v>27.73027630889381</v>
      </c>
      <c r="M40" s="319">
        <v>28.803699542306813</v>
      </c>
      <c r="N40" s="319">
        <v>29.96593817963068</v>
      </c>
      <c r="O40" s="319">
        <v>32.145142390405859</v>
      </c>
      <c r="P40" s="319">
        <v>33.830632501155449</v>
      </c>
      <c r="Q40" s="134"/>
      <c r="S40" s="153"/>
      <c r="AA40" s="134"/>
      <c r="AF40" s="90"/>
    </row>
    <row r="41" spans="1:32" x14ac:dyDescent="0.25">
      <c r="A41" s="99"/>
      <c r="B41" s="200" t="s">
        <v>11</v>
      </c>
      <c r="C41" s="324">
        <v>3.5889645952308245</v>
      </c>
      <c r="D41" s="324">
        <v>3.6043222495018239</v>
      </c>
      <c r="E41" s="324">
        <v>2.1049064107649769</v>
      </c>
      <c r="F41" s="324">
        <v>1.9648591583351551</v>
      </c>
      <c r="G41" s="324">
        <v>1.8951755298315247</v>
      </c>
      <c r="H41" s="324">
        <v>1.976891789585242</v>
      </c>
      <c r="I41" s="324">
        <v>2.1178553005110241</v>
      </c>
      <c r="J41" s="324">
        <v>2.0775871682608376</v>
      </c>
      <c r="K41" s="324">
        <v>2.0389689607675692</v>
      </c>
      <c r="L41" s="324">
        <v>1.9807340220638436</v>
      </c>
      <c r="M41" s="324">
        <v>2.0574071101647724</v>
      </c>
      <c r="N41" s="324">
        <v>2.1404241556879056</v>
      </c>
      <c r="O41" s="324">
        <v>2.2960815993147041</v>
      </c>
      <c r="P41" s="324">
        <v>2.4164737500825324</v>
      </c>
      <c r="Q41" s="134"/>
      <c r="S41" s="153"/>
      <c r="AA41" s="134"/>
      <c r="AF41" s="90"/>
    </row>
    <row r="42" spans="1:32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102"/>
      <c r="Z42" s="102"/>
    </row>
    <row r="43" spans="1:32" x14ac:dyDescent="0.25">
      <c r="A43" s="99"/>
      <c r="B43" s="159" t="s">
        <v>39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45"/>
      <c r="Z43" s="102"/>
    </row>
    <row r="44" spans="1:32" x14ac:dyDescent="0.25">
      <c r="A44" s="99"/>
      <c r="B44" s="159" t="s">
        <v>88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45"/>
      <c r="Z44" s="102"/>
    </row>
    <row r="45" spans="1:32" ht="12.75" customHeight="1" x14ac:dyDescent="0.25">
      <c r="A45" s="99"/>
      <c r="B45" s="159" t="s">
        <v>87</v>
      </c>
      <c r="C45" s="159"/>
      <c r="D45" s="159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47"/>
    </row>
    <row r="46" spans="1:32" ht="12.75" customHeight="1" x14ac:dyDescent="0.25">
      <c r="A46" s="9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47"/>
      <c r="Q46" s="162"/>
    </row>
    <row r="47" spans="1:32" x14ac:dyDescent="0.25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Q47" s="161"/>
    </row>
    <row r="48" spans="1:32" x14ac:dyDescent="0.25"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3"/>
      <c r="Z48" s="120"/>
      <c r="AA48" s="120"/>
      <c r="AB48" s="120"/>
      <c r="AC48" s="120"/>
      <c r="AD48" s="120"/>
    </row>
    <row r="49" spans="2:30" x14ac:dyDescent="0.25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3"/>
      <c r="Z49" s="120"/>
      <c r="AA49" s="120"/>
      <c r="AB49" s="120"/>
      <c r="AC49" s="120"/>
      <c r="AD49" s="120"/>
    </row>
    <row r="50" spans="2:30" x14ac:dyDescent="0.25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3"/>
      <c r="Q50" s="164"/>
      <c r="R50" s="164"/>
      <c r="S50" s="164"/>
      <c r="AB50" s="120"/>
      <c r="AC50" s="120"/>
    </row>
    <row r="51" spans="2:30" x14ac:dyDescent="0.25"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</row>
    <row r="52" spans="2:30" x14ac:dyDescent="0.25"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</row>
    <row r="53" spans="2:30" x14ac:dyDescent="0.25"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</row>
    <row r="54" spans="2:30" x14ac:dyDescent="0.25"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Q54" s="169"/>
      <c r="S54" s="169"/>
      <c r="T54" s="170"/>
      <c r="U54" s="169"/>
      <c r="V54" s="170"/>
    </row>
    <row r="55" spans="2:30" ht="13.8" x14ac:dyDescent="0.3"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Q55" s="171"/>
      <c r="R55" s="171"/>
      <c r="S55" s="171"/>
      <c r="T55" s="171"/>
      <c r="U55" s="171"/>
      <c r="V55" s="171"/>
      <c r="Z55" s="161"/>
    </row>
    <row r="56" spans="2:30" x14ac:dyDescent="0.25"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Q56" s="153"/>
      <c r="R56" s="153"/>
      <c r="S56" s="153"/>
      <c r="T56" s="153"/>
      <c r="U56" s="153"/>
      <c r="V56" s="153"/>
      <c r="W56" s="153"/>
    </row>
    <row r="57" spans="2:30" x14ac:dyDescent="0.25"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</row>
    <row r="58" spans="2:30" x14ac:dyDescent="0.25"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</row>
    <row r="59" spans="2:30" x14ac:dyDescent="0.25"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</row>
    <row r="60" spans="2:30" x14ac:dyDescent="0.25"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</row>
    <row r="61" spans="2:30" x14ac:dyDescent="0.25"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</row>
    <row r="62" spans="2:30" x14ac:dyDescent="0.25"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</row>
    <row r="63" spans="2:30" x14ac:dyDescent="0.25"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Q63" s="172"/>
      <c r="R63" s="153"/>
      <c r="S63" s="153"/>
      <c r="T63" s="153"/>
      <c r="U63" s="153"/>
      <c r="V63" s="153"/>
      <c r="W63" s="153"/>
      <c r="X63" s="153"/>
      <c r="Y63" s="153"/>
    </row>
    <row r="64" spans="2:30" x14ac:dyDescent="0.25"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</row>
    <row r="65" spans="2:19" x14ac:dyDescent="0.25"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</row>
    <row r="66" spans="2:19" x14ac:dyDescent="0.25"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Q66" s="173"/>
      <c r="R66" s="161"/>
      <c r="S66" s="161"/>
    </row>
    <row r="67" spans="2:19" x14ac:dyDescent="0.25"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</row>
    <row r="68" spans="2:19" x14ac:dyDescent="0.25"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</row>
    <row r="69" spans="2:19" x14ac:dyDescent="0.25"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</row>
    <row r="70" spans="2:19" x14ac:dyDescent="0.25"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</row>
    <row r="71" spans="2:19" x14ac:dyDescent="0.25"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</row>
    <row r="72" spans="2:19" x14ac:dyDescent="0.25"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Q72" s="161"/>
      <c r="R72" s="161"/>
    </row>
    <row r="73" spans="2:19" x14ac:dyDescent="0.25"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</row>
    <row r="74" spans="2:19" x14ac:dyDescent="0.25"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</row>
    <row r="75" spans="2:19" x14ac:dyDescent="0.25"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Q75" s="174"/>
      <c r="R75" s="174"/>
    </row>
    <row r="76" spans="2:19" x14ac:dyDescent="0.25"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</row>
    <row r="77" spans="2:19" x14ac:dyDescent="0.25"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Q77" s="161"/>
      <c r="R77" s="161"/>
    </row>
    <row r="78" spans="2:19" x14ac:dyDescent="0.25"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2:19" x14ac:dyDescent="0.25"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</row>
    <row r="80" spans="2:19" x14ac:dyDescent="0.25"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</row>
    <row r="81" spans="2:26" x14ac:dyDescent="0.25"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</row>
    <row r="82" spans="2:26" x14ac:dyDescent="0.25"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</row>
    <row r="83" spans="2:26" x14ac:dyDescent="0.25"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</row>
    <row r="84" spans="2:26" x14ac:dyDescent="0.25"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Z84" s="153"/>
    </row>
    <row r="85" spans="2:26" x14ac:dyDescent="0.25"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</row>
    <row r="86" spans="2:26" x14ac:dyDescent="0.25"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</row>
    <row r="87" spans="2:26" x14ac:dyDescent="0.25"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2:26" x14ac:dyDescent="0.25"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</row>
    <row r="89" spans="2:26" x14ac:dyDescent="0.25"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</row>
    <row r="90" spans="2:26" x14ac:dyDescent="0.25"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</row>
    <row r="91" spans="2:26" x14ac:dyDescent="0.25"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</row>
    <row r="92" spans="2:26" x14ac:dyDescent="0.25"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</row>
    <row r="93" spans="2:26" x14ac:dyDescent="0.25"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</row>
    <row r="94" spans="2:26" x14ac:dyDescent="0.25"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</row>
    <row r="95" spans="2:26" x14ac:dyDescent="0.25"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</row>
    <row r="96" spans="2:26" x14ac:dyDescent="0.25"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</row>
    <row r="97" spans="2:14" x14ac:dyDescent="0.25"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</row>
    <row r="98" spans="2:14" x14ac:dyDescent="0.25"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</row>
    <row r="99" spans="2:14" x14ac:dyDescent="0.25"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</row>
    <row r="100" spans="2:14" x14ac:dyDescent="0.25"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</row>
    <row r="101" spans="2:14" x14ac:dyDescent="0.25"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</row>
    <row r="102" spans="2:14" x14ac:dyDescent="0.25"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</row>
    <row r="103" spans="2:14" x14ac:dyDescent="0.25"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</row>
    <row r="104" spans="2:14" x14ac:dyDescent="0.25"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</row>
    <row r="105" spans="2:14" x14ac:dyDescent="0.25"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</row>
    <row r="106" spans="2:14" x14ac:dyDescent="0.25"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</row>
    <row r="107" spans="2:14" x14ac:dyDescent="0.25"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</row>
    <row r="108" spans="2:14" x14ac:dyDescent="0.25"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</row>
    <row r="109" spans="2:14" x14ac:dyDescent="0.25"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</row>
    <row r="110" spans="2:14" x14ac:dyDescent="0.25"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</row>
    <row r="111" spans="2:14" x14ac:dyDescent="0.25"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</row>
    <row r="112" spans="2:14" x14ac:dyDescent="0.25"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</row>
    <row r="113" spans="2:14" x14ac:dyDescent="0.25"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</row>
    <row r="114" spans="2:14" x14ac:dyDescent="0.25"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</row>
    <row r="115" spans="2:14" x14ac:dyDescent="0.25"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</row>
    <row r="116" spans="2:14" x14ac:dyDescent="0.25"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</row>
    <row r="117" spans="2:14" x14ac:dyDescent="0.25"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</row>
    <row r="118" spans="2:14" x14ac:dyDescent="0.25"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</row>
    <row r="119" spans="2:14" x14ac:dyDescent="0.25"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</row>
    <row r="120" spans="2:14" x14ac:dyDescent="0.25"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</row>
    <row r="121" spans="2:14" x14ac:dyDescent="0.25"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</row>
    <row r="122" spans="2:14" x14ac:dyDescent="0.25"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</row>
    <row r="123" spans="2:14" x14ac:dyDescent="0.25"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</row>
    <row r="124" spans="2:14" x14ac:dyDescent="0.25"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</row>
    <row r="125" spans="2:14" x14ac:dyDescent="0.25"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</row>
  </sheetData>
  <printOptions verticalCentered="1"/>
  <pageMargins left="0.37" right="0.44" top="0.27559055118110237" bottom="0.47244094488188981" header="0.51181102362204722" footer="0.51181102362204722"/>
  <pageSetup paperSize="9" scale="56" orientation="landscape" horizontalDpi="4294967292" r:id="rId1"/>
  <headerFooter alignWithMargins="0">
    <oddHeader>&amp;A</oddHeader>
    <oddFooter>&amp;L&amp;BAS Oslo SporveierKonfidensielt&amp;B&amp;C&amp;D&amp;RSide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A1:Z245"/>
  <sheetViews>
    <sheetView topLeftCell="A30" zoomScaleNormal="100" workbookViewId="0">
      <selection activeCell="C29" sqref="C29:P42"/>
    </sheetView>
  </sheetViews>
  <sheetFormatPr baseColWidth="10" defaultColWidth="9.109375" defaultRowHeight="13.2" x14ac:dyDescent="0.25"/>
  <cols>
    <col min="1" max="1" width="11.44140625" style="87" customWidth="1"/>
    <col min="2" max="2" width="45.88671875" style="87" customWidth="1"/>
    <col min="3" max="3" width="21" style="87" customWidth="1"/>
    <col min="4" max="4" width="16.6640625" style="87" customWidth="1"/>
    <col min="5" max="5" width="14" style="87" customWidth="1"/>
    <col min="6" max="6" width="15.44140625" style="87" customWidth="1"/>
    <col min="7" max="7" width="15.109375" style="87" customWidth="1"/>
    <col min="8" max="8" width="12.44140625" style="87" customWidth="1"/>
    <col min="9" max="9" width="16.6640625" style="87" customWidth="1"/>
    <col min="10" max="15" width="14.5546875" style="87" customWidth="1"/>
    <col min="16" max="16384" width="9.109375" style="87"/>
  </cols>
  <sheetData>
    <row r="1" spans="1:25" s="207" customFormat="1" ht="17.399999999999999" x14ac:dyDescent="0.3"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25" x14ac:dyDescent="0.25">
      <c r="B2" s="209"/>
      <c r="C2" s="209"/>
      <c r="D2" s="209"/>
      <c r="E2" s="209"/>
      <c r="F2" s="209"/>
      <c r="G2" s="209"/>
      <c r="H2" s="209"/>
      <c r="I2" s="209"/>
      <c r="J2" s="209"/>
      <c r="K2" s="92"/>
      <c r="L2" s="93"/>
      <c r="M2" s="93"/>
      <c r="N2" s="92"/>
      <c r="O2" s="92"/>
      <c r="Q2" s="210"/>
    </row>
    <row r="3" spans="1:25" x14ac:dyDescent="0.25">
      <c r="B3" s="211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</row>
    <row r="4" spans="1:25" x14ac:dyDescent="0.25">
      <c r="B4" s="211"/>
      <c r="C4" s="211"/>
      <c r="D4" s="211"/>
      <c r="E4" s="101"/>
      <c r="F4" s="101"/>
      <c r="G4" s="211"/>
      <c r="H4" s="211"/>
      <c r="I4" s="211"/>
      <c r="J4" s="211"/>
      <c r="K4" s="97"/>
      <c r="L4" s="97"/>
      <c r="M4" s="97"/>
      <c r="N4" s="97"/>
      <c r="O4" s="97"/>
    </row>
    <row r="5" spans="1:25" x14ac:dyDescent="0.25">
      <c r="A5" s="99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25" x14ac:dyDescent="0.25">
      <c r="A6" s="99"/>
      <c r="B6" s="99"/>
      <c r="C6" s="99"/>
      <c r="D6" s="99"/>
      <c r="E6" s="101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25" ht="15" x14ac:dyDescent="0.25">
      <c r="A7" s="99"/>
      <c r="B7" s="99"/>
      <c r="C7" s="99"/>
      <c r="D7" s="99"/>
      <c r="E7" s="99"/>
      <c r="F7" s="283"/>
      <c r="G7" s="99"/>
      <c r="H7" s="99"/>
      <c r="I7" s="99"/>
      <c r="J7" s="99"/>
      <c r="K7" s="99"/>
      <c r="L7" s="99"/>
      <c r="M7" s="99"/>
      <c r="N7" s="99"/>
      <c r="O7" s="99"/>
    </row>
    <row r="8" spans="1:25" x14ac:dyDescent="0.25">
      <c r="A8" s="99"/>
      <c r="B8" s="103" t="s">
        <v>53</v>
      </c>
      <c r="C8" s="103"/>
      <c r="D8" s="103"/>
      <c r="E8" s="103"/>
      <c r="F8" s="103"/>
      <c r="G8" s="103"/>
      <c r="H8" s="103"/>
      <c r="I8" s="103"/>
      <c r="J8" s="103"/>
      <c r="K8" s="99"/>
      <c r="L8" s="99"/>
      <c r="M8" s="99"/>
      <c r="N8" s="99"/>
      <c r="O8" s="99"/>
    </row>
    <row r="9" spans="1:25" ht="13.8" x14ac:dyDescent="0.3">
      <c r="A9" s="99"/>
      <c r="B9" s="99"/>
      <c r="C9" s="107">
        <v>2021</v>
      </c>
      <c r="D9" s="107">
        <v>2020</v>
      </c>
      <c r="E9" s="107">
        <v>2019</v>
      </c>
      <c r="F9" s="107">
        <v>2018</v>
      </c>
      <c r="G9" s="107">
        <v>2017</v>
      </c>
      <c r="H9" s="107">
        <v>2016</v>
      </c>
      <c r="I9" s="107">
        <v>2015</v>
      </c>
      <c r="J9" s="107">
        <v>2014</v>
      </c>
      <c r="K9" s="107">
        <v>2013</v>
      </c>
      <c r="L9" s="107">
        <v>2012</v>
      </c>
      <c r="M9" s="107">
        <v>2011</v>
      </c>
      <c r="N9" s="107">
        <v>2010</v>
      </c>
      <c r="O9" s="107">
        <v>2009</v>
      </c>
      <c r="P9" s="108">
        <v>2008</v>
      </c>
      <c r="R9" s="167"/>
    </row>
    <row r="10" spans="1:25" x14ac:dyDescent="0.25">
      <c r="A10" s="99"/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25" x14ac:dyDescent="0.25">
      <c r="A11" s="99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</row>
    <row r="12" spans="1:25" x14ac:dyDescent="0.25">
      <c r="A12" s="99"/>
      <c r="B12" s="138" t="s">
        <v>49</v>
      </c>
      <c r="C12" s="179">
        <v>2.5975036218678134</v>
      </c>
      <c r="D12" s="179">
        <f>'Båt tidl. Akershus 2020'!D12+'Båt Oslo 2020'!D12</f>
        <v>2.6249893299335083</v>
      </c>
      <c r="E12" s="179">
        <v>4.3525633798450496</v>
      </c>
      <c r="F12" s="179">
        <v>4.3752849999999999</v>
      </c>
      <c r="G12" s="125">
        <v>3.920744</v>
      </c>
      <c r="H12" s="179">
        <v>4.5746097093864329</v>
      </c>
      <c r="I12" s="48">
        <v>4.4402773581981645</v>
      </c>
      <c r="J12" s="224">
        <v>4.2133373029553569</v>
      </c>
      <c r="K12" s="179">
        <v>4.4387228546302051</v>
      </c>
      <c r="L12" s="179">
        <v>4.4664772718570873</v>
      </c>
      <c r="M12" s="125">
        <v>4.3543335886558765</v>
      </c>
      <c r="N12" s="125">
        <v>4.197614114390829</v>
      </c>
      <c r="O12" s="125">
        <v>4.1192094013092069</v>
      </c>
      <c r="P12" s="125">
        <v>4.0106524172703732</v>
      </c>
    </row>
    <row r="13" spans="1:25" x14ac:dyDescent="0.25">
      <c r="A13" s="99"/>
      <c r="B13" s="138" t="s">
        <v>78</v>
      </c>
      <c r="C13" s="130">
        <v>15.097973745671535</v>
      </c>
      <c r="D13" s="130">
        <f>'Båt tidl. Akershus 2020'!D13+'Båt Oslo 2020'!D13</f>
        <v>15.634258347663152</v>
      </c>
      <c r="E13" s="179">
        <v>25.673479745581979</v>
      </c>
      <c r="F13" s="179">
        <v>24.749901070000004</v>
      </c>
      <c r="G13" s="48">
        <v>22.904048840000002</v>
      </c>
      <c r="H13" s="179">
        <v>27.414372910668867</v>
      </c>
      <c r="I13" s="48">
        <v>26.692595433361944</v>
      </c>
      <c r="J13" s="48">
        <v>24.561056500416694</v>
      </c>
      <c r="K13" s="179">
        <v>24.436059124920448</v>
      </c>
      <c r="L13" s="125">
        <v>25.235185186101067</v>
      </c>
      <c r="M13" s="125">
        <v>24.283577457469107</v>
      </c>
      <c r="N13" s="125">
        <v>22.930825501547748</v>
      </c>
      <c r="O13" s="125">
        <v>22.587041636601491</v>
      </c>
      <c r="P13" s="125">
        <v>21.812042381466352</v>
      </c>
    </row>
    <row r="14" spans="1:25" x14ac:dyDescent="0.25">
      <c r="A14" s="99"/>
      <c r="B14" s="136" t="s">
        <v>46</v>
      </c>
      <c r="C14" s="156">
        <v>0.36059940704362903</v>
      </c>
      <c r="D14" s="156">
        <f>'Båt tidl. Akershus 2020'!D14+'Båt Oslo 2020'!D14</f>
        <v>0.34940465310549634</v>
      </c>
      <c r="E14" s="140">
        <v>0.37819999999999998</v>
      </c>
      <c r="F14" s="202">
        <v>0.3519409</v>
      </c>
      <c r="G14" s="140">
        <v>0.33467263487999999</v>
      </c>
      <c r="H14" s="202">
        <v>0.31471357</v>
      </c>
      <c r="I14" s="231">
        <v>0.30639081000000001</v>
      </c>
      <c r="J14" s="231">
        <v>0.26260879999999998</v>
      </c>
      <c r="K14" s="202">
        <v>0.29864799999999997</v>
      </c>
      <c r="L14" s="202">
        <v>0.30068164800000002</v>
      </c>
      <c r="M14" s="140">
        <v>0.28158402399999999</v>
      </c>
      <c r="N14" s="202">
        <v>0.28598753264999999</v>
      </c>
      <c r="O14" s="202">
        <v>0.28601858547999998</v>
      </c>
      <c r="P14" s="202">
        <v>0.30078102457</v>
      </c>
      <c r="R14" s="210"/>
    </row>
    <row r="15" spans="1:25" x14ac:dyDescent="0.25">
      <c r="A15" s="99"/>
      <c r="B15" s="136" t="s">
        <v>24</v>
      </c>
      <c r="C15" s="130">
        <v>134.05970640957887</v>
      </c>
      <c r="D15" s="130">
        <f>'Båt tidl. Akershus 2020'!D15+'Båt Oslo 2020'!D15</f>
        <v>132.58607599816298</v>
      </c>
      <c r="E15" s="119">
        <v>144.97788700000001</v>
      </c>
      <c r="F15" s="119">
        <v>138.6188831212219</v>
      </c>
      <c r="G15" s="119">
        <v>134.87248584385651</v>
      </c>
      <c r="H15" s="119">
        <v>117.52835939322131</v>
      </c>
      <c r="I15" s="55">
        <v>113.47735160000001</v>
      </c>
      <c r="J15" s="55">
        <v>105.91761600000001</v>
      </c>
      <c r="K15" s="119">
        <v>113.191585</v>
      </c>
      <c r="L15" s="119">
        <v>113.82211712</v>
      </c>
      <c r="M15" s="119">
        <v>109.50476040000001</v>
      </c>
      <c r="N15" s="119">
        <v>112.30222327964999</v>
      </c>
      <c r="O15" s="119">
        <v>103.08005405042891</v>
      </c>
      <c r="P15" s="119">
        <v>113.34163344128032</v>
      </c>
      <c r="R15" s="213"/>
      <c r="S15" s="213"/>
      <c r="T15" s="213"/>
      <c r="U15" s="213"/>
      <c r="V15" s="213"/>
      <c r="W15" s="213"/>
      <c r="X15" s="213"/>
      <c r="Y15" s="213"/>
    </row>
    <row r="16" spans="1:25" x14ac:dyDescent="0.25">
      <c r="A16" s="99"/>
      <c r="B16" s="136" t="s">
        <v>79</v>
      </c>
      <c r="C16" s="253">
        <f t="shared" ref="C16:J16" si="0">C13/C15</f>
        <v>0.11262126518123383</v>
      </c>
      <c r="D16" s="253">
        <f t="shared" si="0"/>
        <v>0.11791779966306394</v>
      </c>
      <c r="E16" s="253">
        <f t="shared" si="0"/>
        <v>0.17708548715144384</v>
      </c>
      <c r="F16" s="253">
        <f t="shared" si="0"/>
        <v>0.17854638929932995</v>
      </c>
      <c r="G16" s="181">
        <f t="shared" si="0"/>
        <v>0.16982002442304128</v>
      </c>
      <c r="H16" s="253">
        <f t="shared" si="0"/>
        <v>0.23325751377969162</v>
      </c>
      <c r="I16" s="230">
        <f t="shared" si="0"/>
        <v>0.23522399013550774</v>
      </c>
      <c r="J16" s="230">
        <f t="shared" si="0"/>
        <v>0.23188830553377157</v>
      </c>
      <c r="K16" s="181">
        <v>0.21588229482713267</v>
      </c>
      <c r="L16" s="214">
        <v>0.22170722021886308</v>
      </c>
      <c r="M16" s="214">
        <v>0.22175818995234389</v>
      </c>
      <c r="N16" s="214">
        <v>0.2041885265659116</v>
      </c>
      <c r="O16" s="214">
        <v>0.2191213600407256</v>
      </c>
      <c r="P16" s="214">
        <v>0.19244510352646951</v>
      </c>
    </row>
    <row r="17" spans="1:26" x14ac:dyDescent="0.25">
      <c r="A17" s="99"/>
      <c r="B17" s="138" t="s">
        <v>18</v>
      </c>
      <c r="C17" s="179">
        <v>42.985069265102595</v>
      </c>
      <c r="D17" s="179">
        <f>'Båt tidl. Akershus 2020'!D17+'Båt Oslo 2020'!D17</f>
        <v>44.460999999999999</v>
      </c>
      <c r="E17" s="179">
        <v>47.875</v>
      </c>
      <c r="F17" s="179">
        <v>48.344000000000001</v>
      </c>
      <c r="G17" s="125">
        <v>45.652000000000001</v>
      </c>
      <c r="H17" s="179">
        <v>43.430999999999997</v>
      </c>
      <c r="I17" s="48">
        <v>42.048999999999999</v>
      </c>
      <c r="J17" s="224">
        <v>37.263000000000005</v>
      </c>
      <c r="K17" s="138"/>
      <c r="L17" s="140"/>
      <c r="M17" s="140"/>
      <c r="N17" s="138"/>
      <c r="O17" s="138"/>
      <c r="P17" s="130"/>
      <c r="R17" s="210"/>
    </row>
    <row r="18" spans="1:26" x14ac:dyDescent="0.25">
      <c r="A18" s="99"/>
      <c r="B18" s="138" t="s">
        <v>47</v>
      </c>
      <c r="C18" s="179">
        <v>21.053967731646956</v>
      </c>
      <c r="D18" s="179">
        <f>'Båt tidl. Akershus 2020'!D18+'Båt Oslo 2020'!D18</f>
        <v>21.082371510044563</v>
      </c>
      <c r="E18" s="251">
        <v>23.539802248932169</v>
      </c>
      <c r="F18" s="251">
        <v>21.7328333333333</v>
      </c>
      <c r="G18" s="285">
        <v>19.841433333333299</v>
      </c>
      <c r="H18" s="251">
        <v>17.503199999999989</v>
      </c>
      <c r="I18" s="237">
        <v>17.291370000000001</v>
      </c>
      <c r="J18" s="48">
        <v>16.216000000000001</v>
      </c>
      <c r="K18" s="138"/>
      <c r="L18" s="125"/>
      <c r="M18" s="125"/>
      <c r="N18" s="138"/>
      <c r="O18" s="138"/>
      <c r="P18" s="130"/>
      <c r="R18" s="210"/>
    </row>
    <row r="19" spans="1:26" x14ac:dyDescent="0.25">
      <c r="A19" s="99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25"/>
      <c r="R19" s="210"/>
    </row>
    <row r="20" spans="1:26" x14ac:dyDescent="0.25">
      <c r="A20" s="99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19"/>
      <c r="R20" s="210"/>
    </row>
    <row r="21" spans="1:26" x14ac:dyDescent="0.25">
      <c r="A21" s="99"/>
      <c r="B21" s="138"/>
      <c r="C21" s="138"/>
      <c r="D21" s="138"/>
      <c r="E21" s="138"/>
      <c r="F21" s="138"/>
      <c r="G21" s="136"/>
      <c r="H21" s="138"/>
      <c r="I21" s="138"/>
      <c r="J21" s="138"/>
      <c r="K21" s="138"/>
      <c r="L21" s="138"/>
      <c r="M21" s="138"/>
      <c r="N21" s="138"/>
      <c r="O21" s="138"/>
      <c r="P21" s="138"/>
    </row>
    <row r="22" spans="1:26" x14ac:dyDescent="0.25">
      <c r="A22" s="99"/>
      <c r="B22" s="117" t="s">
        <v>76</v>
      </c>
      <c r="C22" s="176">
        <v>1.2720060894965615</v>
      </c>
      <c r="D22" s="176">
        <v>1.5177495487000729</v>
      </c>
      <c r="E22" s="176">
        <v>1.2875524707821675</v>
      </c>
      <c r="F22" s="139">
        <v>1.1499999999999999</v>
      </c>
      <c r="G22" s="139">
        <v>1.4359274999694769</v>
      </c>
      <c r="H22" s="184">
        <v>1.0783053310045603</v>
      </c>
      <c r="I22" s="239">
        <v>1.1487530703178166</v>
      </c>
      <c r="J22" s="139">
        <v>1.1452249447255036</v>
      </c>
      <c r="K22" s="176">
        <v>1.133</v>
      </c>
      <c r="L22" s="184">
        <v>1.1340595200292889</v>
      </c>
      <c r="M22" s="176">
        <v>1.0275423604163059</v>
      </c>
      <c r="N22" s="139">
        <v>1.2954726969024555</v>
      </c>
      <c r="O22" s="139">
        <v>1.1389278115250621</v>
      </c>
      <c r="P22" s="140">
        <v>1.050738298559055</v>
      </c>
    </row>
    <row r="23" spans="1:26" ht="15" x14ac:dyDescent="0.35">
      <c r="A23" s="99"/>
      <c r="B23" s="141" t="s">
        <v>44</v>
      </c>
      <c r="C23" s="177">
        <v>0.21759635907049171</v>
      </c>
      <c r="D23" s="177">
        <v>0.28094085541681713</v>
      </c>
      <c r="E23" s="177">
        <v>0.29275345899666722</v>
      </c>
      <c r="F23" s="146">
        <v>0.24794563580047468</v>
      </c>
      <c r="G23" s="146">
        <v>0.3047600317878994</v>
      </c>
      <c r="H23" s="146">
        <v>0.23160055760000001</v>
      </c>
      <c r="I23" s="240">
        <v>0.2485364909964542</v>
      </c>
      <c r="J23" s="146">
        <v>0.24904145443909245</v>
      </c>
      <c r="K23" s="177">
        <v>0.2424</v>
      </c>
      <c r="L23" s="146">
        <v>0.24334809600613802</v>
      </c>
      <c r="M23" s="146">
        <v>0.25022600687202401</v>
      </c>
      <c r="N23" s="146">
        <v>0.30977996359618903</v>
      </c>
      <c r="O23" s="146">
        <v>0.28442915979928396</v>
      </c>
      <c r="P23" s="142">
        <v>0.27537145934365248</v>
      </c>
    </row>
    <row r="24" spans="1:26" s="308" customFormat="1" x14ac:dyDescent="0.25">
      <c r="B24" s="304"/>
      <c r="C24" s="304"/>
      <c r="D24" s="304"/>
      <c r="E24" s="304"/>
      <c r="F24" s="304"/>
      <c r="G24" s="146"/>
      <c r="H24" s="146"/>
      <c r="I24" s="305"/>
      <c r="J24" s="146"/>
      <c r="K24" s="146"/>
      <c r="L24" s="146"/>
      <c r="M24" s="146"/>
      <c r="N24" s="146"/>
      <c r="O24" s="146"/>
      <c r="P24" s="142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26" s="308" customFormat="1" x14ac:dyDescent="0.25">
      <c r="B25" s="304"/>
      <c r="C25" s="304"/>
      <c r="D25" s="304"/>
      <c r="E25" s="304"/>
      <c r="F25" s="304"/>
      <c r="G25" s="146"/>
      <c r="H25" s="146"/>
      <c r="I25" s="305"/>
      <c r="J25" s="146"/>
      <c r="K25" s="146"/>
      <c r="L25" s="146"/>
      <c r="M25" s="146"/>
      <c r="N25" s="146"/>
      <c r="O25" s="146"/>
      <c r="P25" s="142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26" x14ac:dyDescent="0.25">
      <c r="A26" s="99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26" x14ac:dyDescent="0.25">
      <c r="A27" s="99"/>
      <c r="B27" s="183" t="s">
        <v>2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26" x14ac:dyDescent="0.25">
      <c r="A28" s="99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26" x14ac:dyDescent="0.25">
      <c r="A29" s="99"/>
      <c r="B29" s="138" t="s">
        <v>25</v>
      </c>
      <c r="C29" s="341">
        <v>27.892306780960055</v>
      </c>
      <c r="D29" s="341">
        <v>31.444894797110184</v>
      </c>
      <c r="E29" s="341">
        <v>57.985626841368671</v>
      </c>
      <c r="F29" s="341">
        <v>57.031275651102767</v>
      </c>
      <c r="G29" s="341">
        <v>62.051646997975752</v>
      </c>
      <c r="H29" s="341">
        <v>55.940685225787789</v>
      </c>
      <c r="I29" s="341">
        <v>58.653536790744148</v>
      </c>
      <c r="J29" s="341">
        <v>54.550140003858942</v>
      </c>
      <c r="K29" s="341">
        <v>54.583312858778932</v>
      </c>
      <c r="L29" s="341">
        <v>55.396019682118265</v>
      </c>
      <c r="M29" s="341">
        <v>63.600285511263728</v>
      </c>
      <c r="N29" s="341">
        <v>74.702375464088178</v>
      </c>
      <c r="O29" s="341">
        <v>76.721191501163787</v>
      </c>
      <c r="P29" s="341">
        <v>70.328815593357689</v>
      </c>
    </row>
    <row r="30" spans="1:26" x14ac:dyDescent="0.25">
      <c r="A30" s="99"/>
      <c r="B30" s="138" t="s">
        <v>41</v>
      </c>
      <c r="C30" s="341">
        <v>207.57613583583185</v>
      </c>
      <c r="D30" s="341">
        <v>204.14712682773228</v>
      </c>
      <c r="E30" s="341">
        <v>168.34861392753422</v>
      </c>
      <c r="F30" s="341">
        <v>163.80502867814062</v>
      </c>
      <c r="G30" s="341">
        <v>152.37234425100479</v>
      </c>
      <c r="H30" s="341">
        <v>165.91483615259011</v>
      </c>
      <c r="I30" s="341">
        <v>171.72831509450728</v>
      </c>
      <c r="J30" s="341">
        <v>141.87226612916425</v>
      </c>
      <c r="K30" s="341">
        <v>122.48102188370277</v>
      </c>
      <c r="L30" s="341">
        <v>119.33846353584724</v>
      </c>
      <c r="M30" s="341">
        <v>96.824464108157073</v>
      </c>
      <c r="N30" s="341">
        <v>92.47910336327341</v>
      </c>
      <c r="O30" s="341">
        <v>76.178246763574748</v>
      </c>
      <c r="P30" s="341">
        <v>65.151968497551408</v>
      </c>
      <c r="R30" s="215"/>
    </row>
    <row r="31" spans="1:26" x14ac:dyDescent="0.25">
      <c r="A31" s="99"/>
      <c r="B31" s="138" t="s">
        <v>26</v>
      </c>
      <c r="C31" s="341">
        <v>235.46844261679189</v>
      </c>
      <c r="D31" s="341">
        <v>235.59202162484243</v>
      </c>
      <c r="E31" s="341">
        <v>226.33424076890287</v>
      </c>
      <c r="F31" s="341">
        <v>220.83630432924352</v>
      </c>
      <c r="G31" s="341">
        <v>214.45024683092524</v>
      </c>
      <c r="H31" s="341">
        <v>221.85552137837834</v>
      </c>
      <c r="I31" s="341">
        <v>230.45153400000001</v>
      </c>
      <c r="J31" s="341">
        <v>196.47108478038811</v>
      </c>
      <c r="K31" s="341">
        <v>177.33397288842545</v>
      </c>
      <c r="L31" s="341">
        <v>174.78057507987222</v>
      </c>
      <c r="M31" s="341">
        <v>160.48678456591639</v>
      </c>
      <c r="N31" s="341">
        <v>167.19408469055378</v>
      </c>
      <c r="O31" s="341">
        <v>152.89943826473859</v>
      </c>
      <c r="P31" s="341">
        <v>135.48078409090911</v>
      </c>
      <c r="R31" s="215"/>
    </row>
    <row r="32" spans="1:26" x14ac:dyDescent="0.25">
      <c r="A32" s="99"/>
      <c r="B32" s="138"/>
      <c r="C32" s="343"/>
      <c r="D32" s="343"/>
      <c r="E32" s="343"/>
      <c r="F32" s="343"/>
      <c r="G32" s="343"/>
      <c r="H32" s="343"/>
      <c r="I32" s="343"/>
      <c r="J32" s="343"/>
      <c r="K32" s="341"/>
      <c r="L32" s="343"/>
      <c r="M32" s="343"/>
      <c r="N32" s="343"/>
      <c r="O32" s="343"/>
      <c r="P32" s="343"/>
    </row>
    <row r="33" spans="1:16" x14ac:dyDescent="0.25">
      <c r="A33" s="99"/>
      <c r="B33" s="138" t="s">
        <v>35</v>
      </c>
      <c r="C33" s="343"/>
      <c r="D33" s="343"/>
      <c r="E33" s="343"/>
      <c r="F33" s="343"/>
      <c r="G33" s="343"/>
      <c r="H33" s="343"/>
      <c r="I33" s="343"/>
      <c r="J33" s="343"/>
      <c r="K33" s="341"/>
      <c r="L33" s="336"/>
      <c r="M33" s="336"/>
      <c r="N33" s="336"/>
      <c r="O33" s="336"/>
      <c r="P33" s="336"/>
    </row>
    <row r="34" spans="1:16" x14ac:dyDescent="0.25">
      <c r="A34" s="99"/>
      <c r="B34" s="117" t="s">
        <v>7</v>
      </c>
      <c r="C34" s="336">
        <v>5477.9123691666773</v>
      </c>
      <c r="D34" s="336">
        <v>5298.8466661758039</v>
      </c>
      <c r="E34" s="336">
        <v>4727.6081622747333</v>
      </c>
      <c r="F34" s="336">
        <v>4568.0188716126822</v>
      </c>
      <c r="G34" s="336">
        <v>4697.4994924849998</v>
      </c>
      <c r="H34" s="336">
        <v>5108.2296373184672</v>
      </c>
      <c r="I34" s="336">
        <v>5480.5473138481302</v>
      </c>
      <c r="J34" s="336">
        <v>5272.5514526578127</v>
      </c>
      <c r="K34" s="341"/>
      <c r="L34" s="336"/>
      <c r="M34" s="336"/>
      <c r="N34" s="336"/>
      <c r="O34" s="336"/>
      <c r="P34" s="336"/>
    </row>
    <row r="35" spans="1:16" x14ac:dyDescent="0.25">
      <c r="A35" s="99"/>
      <c r="B35" s="136" t="s">
        <v>15</v>
      </c>
      <c r="C35" s="337">
        <v>1.7564445643151665</v>
      </c>
      <c r="D35" s="337">
        <v>1.7768986664037529</v>
      </c>
      <c r="E35" s="337">
        <v>1.5611638812814457</v>
      </c>
      <c r="F35" s="337">
        <v>1.5931184796527518</v>
      </c>
      <c r="G35" s="337">
        <v>1.5900222012605065</v>
      </c>
      <c r="H35" s="337">
        <v>1.88767649377376</v>
      </c>
      <c r="I35" s="337">
        <v>2.0308152309751297</v>
      </c>
      <c r="J35" s="337">
        <v>1.8549424751062005</v>
      </c>
      <c r="K35" s="337">
        <v>1.5666709931522333</v>
      </c>
      <c r="L35" s="337">
        <v>1.5355589889055141</v>
      </c>
      <c r="M35" s="337">
        <v>1.4655690216542987</v>
      </c>
      <c r="N35" s="337">
        <v>1.48878695192182</v>
      </c>
      <c r="O35" s="337">
        <v>1.4833077036410651</v>
      </c>
      <c r="P35" s="337">
        <v>1.195331141588837</v>
      </c>
    </row>
    <row r="36" spans="1:16" x14ac:dyDescent="0.25">
      <c r="A36" s="99"/>
      <c r="B36" s="138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</row>
    <row r="37" spans="1:16" x14ac:dyDescent="0.25">
      <c r="A37" s="99"/>
      <c r="B37" s="138" t="s">
        <v>36</v>
      </c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</row>
    <row r="38" spans="1:16" x14ac:dyDescent="0.25">
      <c r="A38" s="99"/>
      <c r="B38" s="138" t="s">
        <v>8</v>
      </c>
      <c r="C38" s="323">
        <v>10.738120457712105</v>
      </c>
      <c r="D38" s="323">
        <v>11.979056234071127</v>
      </c>
      <c r="E38" s="323">
        <v>13.322178629236399</v>
      </c>
      <c r="F38" s="323">
        <v>13.034871020082754</v>
      </c>
      <c r="G38" s="323">
        <v>15.826497980479152</v>
      </c>
      <c r="H38" s="323">
        <v>12.228515388100902</v>
      </c>
      <c r="I38" s="323">
        <v>13.209430866396456</v>
      </c>
      <c r="J38" s="323">
        <v>12.947014701527905</v>
      </c>
      <c r="K38" s="323">
        <v>12.297076128968257</v>
      </c>
      <c r="L38" s="323">
        <v>12.402619852375409</v>
      </c>
      <c r="M38" s="323">
        <v>14.606204190914154</v>
      </c>
      <c r="N38" s="323">
        <v>17.796389431792548</v>
      </c>
      <c r="O38" s="323">
        <v>18.625222470306927</v>
      </c>
      <c r="P38" s="323">
        <v>17.53550501921158</v>
      </c>
    </row>
    <row r="39" spans="1:16" x14ac:dyDescent="0.25">
      <c r="A39" s="99"/>
      <c r="B39" s="138" t="s">
        <v>9</v>
      </c>
      <c r="C39" s="323">
        <v>1.8474205380676696</v>
      </c>
      <c r="D39" s="323">
        <v>2.0112815138308267</v>
      </c>
      <c r="E39" s="323">
        <v>2.258580738411478</v>
      </c>
      <c r="F39" s="323">
        <v>2.3043031763966062</v>
      </c>
      <c r="G39" s="323">
        <v>2.7091999074682267</v>
      </c>
      <c r="H39" s="323">
        <v>2.0405604537471409</v>
      </c>
      <c r="I39" s="323">
        <v>2.1973710625919716</v>
      </c>
      <c r="J39" s="323">
        <v>2.221001364616928</v>
      </c>
      <c r="K39" s="323">
        <v>2.2337199537675709</v>
      </c>
      <c r="L39" s="323">
        <v>2.1951897429557623</v>
      </c>
      <c r="M39" s="323">
        <v>2.6190657296131481</v>
      </c>
      <c r="N39" s="323">
        <v>3.2577272658171874</v>
      </c>
      <c r="O39" s="323">
        <v>3.3966905775229921</v>
      </c>
      <c r="P39" s="323">
        <v>3.2243113397357024</v>
      </c>
    </row>
    <row r="40" spans="1:16" x14ac:dyDescent="0.25">
      <c r="A40" s="99"/>
      <c r="B40" s="136" t="s">
        <v>16</v>
      </c>
      <c r="C40" s="323">
        <v>0.2080588383189767</v>
      </c>
      <c r="D40" s="323">
        <v>0.23716589061392737</v>
      </c>
      <c r="E40" s="323">
        <v>0.39996187033246433</v>
      </c>
      <c r="F40" s="323">
        <v>0.41142501199659104</v>
      </c>
      <c r="G40" s="323">
        <v>0.46007639445315546</v>
      </c>
      <c r="H40" s="323">
        <v>0.47597605815821747</v>
      </c>
      <c r="I40" s="323">
        <v>0.51687438915118411</v>
      </c>
      <c r="J40" s="323">
        <v>0.51502424302921379</v>
      </c>
      <c r="K40" s="323">
        <v>0.48222058962049991</v>
      </c>
      <c r="L40" s="323">
        <v>0.48668941576368269</v>
      </c>
      <c r="M40" s="323">
        <v>0.5807992755652267</v>
      </c>
      <c r="N40" s="323">
        <v>0.66519053036080733</v>
      </c>
      <c r="O40" s="323">
        <v>0.74428745898435578</v>
      </c>
      <c r="P40" s="323">
        <v>0.62050292957700681</v>
      </c>
    </row>
    <row r="41" spans="1:16" x14ac:dyDescent="0.25">
      <c r="A41" s="99"/>
      <c r="B41" s="138" t="s">
        <v>10</v>
      </c>
      <c r="C41" s="323">
        <v>90.651824557407622</v>
      </c>
      <c r="D41" s="323">
        <v>89.749706384829395</v>
      </c>
      <c r="E41" s="323">
        <v>52.000217117334735</v>
      </c>
      <c r="F41" s="323">
        <v>50.473581567656396</v>
      </c>
      <c r="G41" s="323">
        <v>54.696314482895396</v>
      </c>
      <c r="H41" s="323">
        <v>48.497147401047812</v>
      </c>
      <c r="I41" s="323">
        <v>51.900256540171569</v>
      </c>
      <c r="J41" s="323">
        <v>46.630751504888437</v>
      </c>
      <c r="K41" s="323">
        <v>39.951575869045634</v>
      </c>
      <c r="L41" s="323">
        <v>39.131638748315261</v>
      </c>
      <c r="M41" s="323">
        <v>36.856795947840205</v>
      </c>
      <c r="N41" s="323">
        <v>39.830741972530632</v>
      </c>
      <c r="O41" s="323">
        <v>37.118636944298736</v>
      </c>
      <c r="P41" s="323">
        <v>33.780235731102458</v>
      </c>
    </row>
    <row r="42" spans="1:16" x14ac:dyDescent="0.25">
      <c r="A42" s="99"/>
      <c r="B42" s="200" t="s">
        <v>11</v>
      </c>
      <c r="C42" s="339">
        <v>15.596029413171999</v>
      </c>
      <c r="D42" s="339">
        <v>15.068960508769916</v>
      </c>
      <c r="E42" s="339">
        <v>8.8158770455668982</v>
      </c>
      <c r="F42" s="339">
        <v>8.9227146284202696</v>
      </c>
      <c r="G42" s="339">
        <v>9.3629841749379192</v>
      </c>
      <c r="H42" s="339">
        <v>8.0926717565747683</v>
      </c>
      <c r="I42" s="339">
        <v>8.6335378878881297</v>
      </c>
      <c r="J42" s="339">
        <v>7.9992928959328298</v>
      </c>
      <c r="K42" s="339">
        <v>7.2570610498963903</v>
      </c>
      <c r="L42" s="339">
        <v>6.9260666720265309</v>
      </c>
      <c r="M42" s="339">
        <v>6.6088608586192521</v>
      </c>
      <c r="N42" s="339">
        <v>7.291237059009009</v>
      </c>
      <c r="O42" s="339">
        <v>6.769343268795792</v>
      </c>
      <c r="P42" s="339">
        <v>6.2112837359066777</v>
      </c>
    </row>
    <row r="43" spans="1:16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1:16" x14ac:dyDescent="0.25">
      <c r="A44" s="99"/>
      <c r="B44" s="159" t="s">
        <v>39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</row>
    <row r="45" spans="1:16" ht="15.6" x14ac:dyDescent="0.3">
      <c r="A45" s="99"/>
      <c r="B45" s="269" t="s">
        <v>95</v>
      </c>
      <c r="C45" s="269"/>
      <c r="D45" s="269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</row>
    <row r="46" spans="1:16" x14ac:dyDescent="0.25">
      <c r="A46" s="9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</row>
    <row r="47" spans="1:16" x14ac:dyDescent="0.25">
      <c r="A47" s="99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</row>
    <row r="48" spans="1:16" x14ac:dyDescent="0.25">
      <c r="A48" s="99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</row>
    <row r="49" spans="1:15" x14ac:dyDescent="0.25">
      <c r="A49" s="99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</row>
    <row r="51" spans="1:15" x14ac:dyDescent="0.25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</row>
    <row r="52" spans="1:15" x14ac:dyDescent="0.25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</row>
    <row r="53" spans="1:15" ht="13.5" customHeight="1" x14ac:dyDescent="0.25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</row>
    <row r="54" spans="1:15" ht="12.75" customHeight="1" x14ac:dyDescent="0.3">
      <c r="B54" s="218"/>
      <c r="C54" s="218"/>
      <c r="D54" s="163"/>
      <c r="E54" s="218"/>
      <c r="F54" s="218"/>
      <c r="G54" s="218"/>
      <c r="H54" s="218"/>
      <c r="I54" s="218"/>
      <c r="J54" s="218"/>
      <c r="K54" s="163"/>
      <c r="L54" s="163"/>
      <c r="M54" s="163"/>
      <c r="N54" s="163"/>
      <c r="O54" s="163"/>
    </row>
    <row r="55" spans="1:15" x14ac:dyDescent="0.25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</row>
    <row r="56" spans="1:15" x14ac:dyDescent="0.25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</row>
    <row r="57" spans="1:15" x14ac:dyDescent="0.25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</row>
    <row r="58" spans="1:15" x14ac:dyDescent="0.2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1:15" x14ac:dyDescent="0.25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</row>
    <row r="60" spans="1:15" x14ac:dyDescent="0.25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</row>
    <row r="61" spans="1:15" x14ac:dyDescent="0.2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</row>
    <row r="62" spans="1:15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</row>
    <row r="63" spans="1:15" x14ac:dyDescent="0.25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</row>
    <row r="64" spans="1:15" x14ac:dyDescent="0.25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</row>
    <row r="65" spans="2:15" x14ac:dyDescent="0.25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</row>
    <row r="66" spans="2:15" x14ac:dyDescent="0.25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</row>
    <row r="67" spans="2:15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</row>
    <row r="68" spans="2:15" x14ac:dyDescent="0.25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</row>
    <row r="69" spans="2:15" x14ac:dyDescent="0.25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</row>
    <row r="70" spans="2:15" x14ac:dyDescent="0.25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</row>
    <row r="71" spans="2:15" x14ac:dyDescent="0.25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</row>
    <row r="72" spans="2:15" x14ac:dyDescent="0.25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</row>
    <row r="73" spans="2:15" x14ac:dyDescent="0.25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</row>
    <row r="74" spans="2:15" x14ac:dyDescent="0.25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</row>
    <row r="75" spans="2:15" x14ac:dyDescent="0.25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</row>
    <row r="76" spans="2:15" x14ac:dyDescent="0.25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</row>
    <row r="77" spans="2:15" x14ac:dyDescent="0.25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</row>
    <row r="78" spans="2:15" x14ac:dyDescent="0.25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</row>
    <row r="79" spans="2:15" x14ac:dyDescent="0.25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</row>
    <row r="80" spans="2:15" x14ac:dyDescent="0.25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</row>
    <row r="81" spans="2:15" x14ac:dyDescent="0.25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</row>
    <row r="82" spans="2:15" x14ac:dyDescent="0.25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</row>
    <row r="83" spans="2:15" x14ac:dyDescent="0.25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</row>
    <row r="84" spans="2:15" x14ac:dyDescent="0.25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</row>
    <row r="85" spans="2:15" x14ac:dyDescent="0.25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</row>
    <row r="86" spans="2:15" x14ac:dyDescent="0.25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</row>
    <row r="87" spans="2:15" x14ac:dyDescent="0.25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</row>
    <row r="88" spans="2:15" x14ac:dyDescent="0.25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</row>
    <row r="89" spans="2:15" x14ac:dyDescent="0.25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</row>
    <row r="90" spans="2:15" x14ac:dyDescent="0.25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</row>
    <row r="91" spans="2:15" x14ac:dyDescent="0.25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</row>
    <row r="92" spans="2:15" x14ac:dyDescent="0.25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</row>
    <row r="93" spans="2:15" x14ac:dyDescent="0.25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</row>
    <row r="94" spans="2:15" x14ac:dyDescent="0.25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</row>
    <row r="95" spans="2:15" x14ac:dyDescent="0.25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</row>
    <row r="96" spans="2:15" x14ac:dyDescent="0.25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</row>
    <row r="97" spans="2:15" x14ac:dyDescent="0.25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</row>
    <row r="98" spans="2:15" x14ac:dyDescent="0.25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</row>
    <row r="99" spans="2:15" x14ac:dyDescent="0.25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2:15" x14ac:dyDescent="0.25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1" spans="2:15" x14ac:dyDescent="0.25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</row>
    <row r="102" spans="2:15" x14ac:dyDescent="0.25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</row>
    <row r="103" spans="2:15" x14ac:dyDescent="0.25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</row>
    <row r="104" spans="2:15" x14ac:dyDescent="0.25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</row>
    <row r="105" spans="2:15" x14ac:dyDescent="0.25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</row>
    <row r="106" spans="2:15" x14ac:dyDescent="0.25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</row>
    <row r="107" spans="2:15" x14ac:dyDescent="0.25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</row>
    <row r="108" spans="2:15" x14ac:dyDescent="0.25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</row>
    <row r="109" spans="2:15" x14ac:dyDescent="0.25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</row>
    <row r="110" spans="2:15" x14ac:dyDescent="0.25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</row>
    <row r="111" spans="2:15" x14ac:dyDescent="0.25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</row>
    <row r="112" spans="2:15" x14ac:dyDescent="0.25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</row>
    <row r="113" spans="2:15" x14ac:dyDescent="0.25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</row>
    <row r="114" spans="2:15" x14ac:dyDescent="0.25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</row>
    <row r="115" spans="2:15" x14ac:dyDescent="0.25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</row>
    <row r="116" spans="2:15" x14ac:dyDescent="0.25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</row>
    <row r="117" spans="2:15" x14ac:dyDescent="0.25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</row>
    <row r="118" spans="2:15" x14ac:dyDescent="0.25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</row>
    <row r="119" spans="2:15" x14ac:dyDescent="0.25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</row>
    <row r="120" spans="2:15" x14ac:dyDescent="0.25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</row>
    <row r="121" spans="2:15" x14ac:dyDescent="0.25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</row>
    <row r="122" spans="2:15" x14ac:dyDescent="0.25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</row>
    <row r="123" spans="2:15" x14ac:dyDescent="0.25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</row>
    <row r="124" spans="2:15" x14ac:dyDescent="0.25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</row>
    <row r="125" spans="2:15" x14ac:dyDescent="0.25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</row>
    <row r="126" spans="2:15" x14ac:dyDescent="0.25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</row>
    <row r="127" spans="2:15" x14ac:dyDescent="0.25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</row>
    <row r="128" spans="2:15" x14ac:dyDescent="0.25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</row>
    <row r="129" spans="2:15" x14ac:dyDescent="0.25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</row>
    <row r="130" spans="2:15" x14ac:dyDescent="0.25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</row>
    <row r="131" spans="2:15" x14ac:dyDescent="0.25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</row>
    <row r="132" spans="2:15" x14ac:dyDescent="0.25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</row>
    <row r="133" spans="2:15" x14ac:dyDescent="0.25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</row>
    <row r="134" spans="2:15" x14ac:dyDescent="0.25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</row>
    <row r="135" spans="2:15" x14ac:dyDescent="0.25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</row>
    <row r="136" spans="2:15" x14ac:dyDescent="0.25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</row>
    <row r="137" spans="2:15" x14ac:dyDescent="0.25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</row>
    <row r="138" spans="2:15" x14ac:dyDescent="0.25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</row>
    <row r="139" spans="2:15" x14ac:dyDescent="0.25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</row>
    <row r="140" spans="2:15" x14ac:dyDescent="0.25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</row>
    <row r="141" spans="2:15" x14ac:dyDescent="0.25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</row>
    <row r="142" spans="2:15" x14ac:dyDescent="0.25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</row>
    <row r="143" spans="2:15" x14ac:dyDescent="0.25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</row>
    <row r="144" spans="2:15" x14ac:dyDescent="0.25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</row>
    <row r="145" spans="2:15" x14ac:dyDescent="0.25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</row>
    <row r="146" spans="2:15" x14ac:dyDescent="0.25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</row>
    <row r="147" spans="2:15" x14ac:dyDescent="0.25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</row>
    <row r="148" spans="2:15" x14ac:dyDescent="0.25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</row>
    <row r="149" spans="2:15" x14ac:dyDescent="0.25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</row>
    <row r="150" spans="2:15" x14ac:dyDescent="0.25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</row>
    <row r="151" spans="2:15" x14ac:dyDescent="0.25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</row>
    <row r="152" spans="2:15" x14ac:dyDescent="0.25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</row>
    <row r="153" spans="2:15" x14ac:dyDescent="0.25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</row>
    <row r="154" spans="2:15" x14ac:dyDescent="0.25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</row>
    <row r="155" spans="2:15" x14ac:dyDescent="0.25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</row>
    <row r="156" spans="2:15" x14ac:dyDescent="0.25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</row>
    <row r="157" spans="2:15" x14ac:dyDescent="0.25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</row>
    <row r="158" spans="2:15" x14ac:dyDescent="0.25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</row>
    <row r="159" spans="2:15" x14ac:dyDescent="0.25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</row>
    <row r="160" spans="2:15" x14ac:dyDescent="0.25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</row>
    <row r="161" spans="2:15" x14ac:dyDescent="0.25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</row>
    <row r="162" spans="2:15" x14ac:dyDescent="0.25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</row>
    <row r="163" spans="2:15" x14ac:dyDescent="0.25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</row>
    <row r="164" spans="2:15" x14ac:dyDescent="0.25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</row>
    <row r="165" spans="2:15" x14ac:dyDescent="0.25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</row>
    <row r="166" spans="2:15" x14ac:dyDescent="0.25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</row>
    <row r="167" spans="2:15" x14ac:dyDescent="0.25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</row>
    <row r="168" spans="2:15" x14ac:dyDescent="0.25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</row>
    <row r="169" spans="2:15" x14ac:dyDescent="0.25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</row>
    <row r="170" spans="2:15" x14ac:dyDescent="0.25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</row>
    <row r="171" spans="2:15" x14ac:dyDescent="0.25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</row>
    <row r="172" spans="2:15" x14ac:dyDescent="0.25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</row>
    <row r="173" spans="2:15" x14ac:dyDescent="0.25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</row>
    <row r="174" spans="2:15" x14ac:dyDescent="0.25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</row>
    <row r="175" spans="2:15" x14ac:dyDescent="0.25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</row>
    <row r="176" spans="2:15" x14ac:dyDescent="0.25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</row>
    <row r="177" spans="2:15" x14ac:dyDescent="0.25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</row>
    <row r="178" spans="2:15" x14ac:dyDescent="0.25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</row>
    <row r="179" spans="2:15" x14ac:dyDescent="0.25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</row>
    <row r="180" spans="2:15" x14ac:dyDescent="0.25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</row>
    <row r="181" spans="2:15" x14ac:dyDescent="0.25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</row>
    <row r="182" spans="2:15" x14ac:dyDescent="0.25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</row>
    <row r="183" spans="2:15" x14ac:dyDescent="0.25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</row>
    <row r="184" spans="2:15" x14ac:dyDescent="0.25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</row>
    <row r="185" spans="2:15" x14ac:dyDescent="0.25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2:15" x14ac:dyDescent="0.25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</row>
    <row r="187" spans="2:15" x14ac:dyDescent="0.25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</row>
    <row r="188" spans="2:15" x14ac:dyDescent="0.25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</row>
    <row r="189" spans="2:15" x14ac:dyDescent="0.25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</row>
    <row r="190" spans="2:15" x14ac:dyDescent="0.25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</row>
    <row r="191" spans="2:15" x14ac:dyDescent="0.25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</row>
    <row r="192" spans="2:15" x14ac:dyDescent="0.25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</row>
    <row r="193" spans="2:15" x14ac:dyDescent="0.25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</row>
    <row r="194" spans="2:15" x14ac:dyDescent="0.25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</row>
    <row r="195" spans="2:15" x14ac:dyDescent="0.25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</row>
    <row r="196" spans="2:15" x14ac:dyDescent="0.25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</row>
    <row r="197" spans="2:15" x14ac:dyDescent="0.25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</row>
    <row r="198" spans="2:15" x14ac:dyDescent="0.25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</row>
    <row r="199" spans="2:15" x14ac:dyDescent="0.25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</row>
    <row r="200" spans="2:15" x14ac:dyDescent="0.25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</row>
    <row r="201" spans="2:15" x14ac:dyDescent="0.25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</row>
    <row r="202" spans="2:15" x14ac:dyDescent="0.25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</row>
    <row r="203" spans="2:15" x14ac:dyDescent="0.25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</row>
    <row r="204" spans="2:15" x14ac:dyDescent="0.25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</row>
    <row r="205" spans="2:15" x14ac:dyDescent="0.25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</row>
    <row r="206" spans="2:15" x14ac:dyDescent="0.25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</row>
    <row r="207" spans="2:15" x14ac:dyDescent="0.25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</row>
    <row r="208" spans="2:15" x14ac:dyDescent="0.25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</row>
    <row r="209" spans="2:15" x14ac:dyDescent="0.25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</row>
    <row r="210" spans="2:15" x14ac:dyDescent="0.25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</row>
    <row r="211" spans="2:15" x14ac:dyDescent="0.25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</row>
    <row r="212" spans="2:15" x14ac:dyDescent="0.25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</row>
    <row r="213" spans="2:15" x14ac:dyDescent="0.25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</row>
    <row r="214" spans="2:15" x14ac:dyDescent="0.25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</row>
    <row r="215" spans="2:15" x14ac:dyDescent="0.25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</row>
    <row r="216" spans="2:15" x14ac:dyDescent="0.25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</row>
    <row r="217" spans="2:15" x14ac:dyDescent="0.25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</row>
    <row r="218" spans="2:15" x14ac:dyDescent="0.25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</row>
    <row r="219" spans="2:15" x14ac:dyDescent="0.25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</row>
    <row r="220" spans="2:15" x14ac:dyDescent="0.25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</row>
    <row r="221" spans="2:15" x14ac:dyDescent="0.25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</row>
    <row r="222" spans="2:15" x14ac:dyDescent="0.25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</row>
    <row r="223" spans="2:15" x14ac:dyDescent="0.25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</row>
    <row r="224" spans="2:15" x14ac:dyDescent="0.25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</row>
    <row r="225" spans="2:15" x14ac:dyDescent="0.25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</row>
    <row r="226" spans="2:15" x14ac:dyDescent="0.25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</row>
    <row r="227" spans="2:15" x14ac:dyDescent="0.25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</row>
    <row r="228" spans="2:15" x14ac:dyDescent="0.25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</row>
    <row r="229" spans="2:15" x14ac:dyDescent="0.25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</row>
    <row r="230" spans="2:15" x14ac:dyDescent="0.25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</row>
    <row r="231" spans="2:15" x14ac:dyDescent="0.25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</row>
    <row r="232" spans="2:15" x14ac:dyDescent="0.25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</row>
    <row r="233" spans="2:15" x14ac:dyDescent="0.25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</row>
    <row r="234" spans="2:15" x14ac:dyDescent="0.25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</row>
    <row r="235" spans="2:15" x14ac:dyDescent="0.25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</row>
    <row r="236" spans="2:15" x14ac:dyDescent="0.25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</row>
    <row r="237" spans="2:15" x14ac:dyDescent="0.25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</row>
    <row r="238" spans="2:15" x14ac:dyDescent="0.25"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</row>
    <row r="239" spans="2:15" x14ac:dyDescent="0.25"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</row>
    <row r="240" spans="2:15" x14ac:dyDescent="0.25"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</row>
    <row r="241" spans="2:15" x14ac:dyDescent="0.25"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</row>
    <row r="242" spans="2:15" x14ac:dyDescent="0.25"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</row>
    <row r="243" spans="2:15" x14ac:dyDescent="0.25"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</row>
    <row r="244" spans="2:15" x14ac:dyDescent="0.25"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</row>
    <row r="245" spans="2:15" x14ac:dyDescent="0.25"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</row>
  </sheetData>
  <pageMargins left="0.49" right="0.19685039370078741" top="0.68" bottom="0.81" header="0.55118110236220474" footer="0.51181102362204722"/>
  <pageSetup paperSize="9" scale="67" orientation="landscape" horizontalDpi="4294967292" r:id="rId1"/>
  <headerFooter alignWithMargins="0">
    <oddHeader>&amp;A</oddHeader>
    <oddFooter>&amp;L&amp;BAS Oslo SporveierKonfidensielt&amp;B&amp;C&amp;D&amp;RSide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  <pageSetUpPr fitToPage="1"/>
  </sheetPr>
  <dimension ref="A1:R237"/>
  <sheetViews>
    <sheetView zoomScaleNormal="100" workbookViewId="0">
      <selection activeCell="C29" sqref="C29:P42"/>
    </sheetView>
  </sheetViews>
  <sheetFormatPr baseColWidth="10" defaultColWidth="9.109375" defaultRowHeight="13.2" x14ac:dyDescent="0.25"/>
  <cols>
    <col min="1" max="1" width="11.44140625" style="87" customWidth="1"/>
    <col min="2" max="2" width="45.88671875" style="87" customWidth="1"/>
    <col min="3" max="3" width="16.5546875" style="87" customWidth="1"/>
    <col min="4" max="4" width="14.5546875" style="87" customWidth="1"/>
    <col min="5" max="5" width="16.5546875" style="87" customWidth="1"/>
    <col min="6" max="6" width="14.33203125" style="87" customWidth="1"/>
    <col min="7" max="7" width="14.109375" style="87" customWidth="1"/>
    <col min="8" max="8" width="11.5546875" style="87" customWidth="1"/>
    <col min="9" max="9" width="15.33203125" style="87" customWidth="1"/>
    <col min="10" max="15" width="14.88671875" style="87" customWidth="1"/>
    <col min="16" max="16384" width="9.109375" style="87"/>
  </cols>
  <sheetData>
    <row r="1" spans="1:18" s="207" customFormat="1" ht="17.399999999999999" x14ac:dyDescent="0.3"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8" x14ac:dyDescent="0.25">
      <c r="B2" s="209"/>
      <c r="C2" s="209"/>
      <c r="D2" s="209"/>
      <c r="E2" s="209"/>
      <c r="F2" s="209"/>
      <c r="G2" s="209"/>
      <c r="H2" s="209"/>
      <c r="I2" s="209"/>
      <c r="J2" s="209"/>
      <c r="K2" s="92"/>
      <c r="L2" s="93"/>
      <c r="M2" s="93"/>
      <c r="N2" s="92"/>
      <c r="O2" s="92"/>
      <c r="Q2" s="210"/>
    </row>
    <row r="3" spans="1:18" x14ac:dyDescent="0.25">
      <c r="B3" s="209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Q3" s="210"/>
    </row>
    <row r="4" spans="1:18" x14ac:dyDescent="0.25">
      <c r="B4" s="211"/>
      <c r="C4" s="211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</row>
    <row r="5" spans="1:18" x14ac:dyDescent="0.25">
      <c r="A5" s="99"/>
      <c r="B5" s="212"/>
      <c r="C5" s="212"/>
      <c r="D5" s="212"/>
      <c r="E5" s="101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18" ht="15" x14ac:dyDescent="0.25">
      <c r="A6" s="99"/>
      <c r="B6" s="99"/>
      <c r="C6" s="99"/>
      <c r="D6" s="99"/>
      <c r="E6" s="99"/>
      <c r="F6" s="283"/>
      <c r="G6" s="99"/>
      <c r="H6" s="99"/>
      <c r="I6" s="99"/>
      <c r="J6" s="99"/>
      <c r="K6" s="99"/>
      <c r="L6" s="99"/>
      <c r="M6" s="99"/>
      <c r="N6" s="99"/>
      <c r="O6" s="99"/>
    </row>
    <row r="7" spans="1:18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8" x14ac:dyDescent="0.25">
      <c r="A8" s="99"/>
      <c r="B8" s="103" t="s">
        <v>94</v>
      </c>
      <c r="C8" s="103"/>
      <c r="D8" s="103"/>
      <c r="E8" s="103"/>
      <c r="F8" s="103"/>
      <c r="G8" s="103"/>
      <c r="H8" s="103"/>
      <c r="I8" s="103"/>
      <c r="J8" s="103"/>
      <c r="K8" s="99"/>
      <c r="L8" s="99"/>
      <c r="M8" s="99"/>
      <c r="N8" s="99"/>
      <c r="O8" s="99"/>
    </row>
    <row r="9" spans="1:18" ht="13.8" x14ac:dyDescent="0.3">
      <c r="A9" s="99"/>
      <c r="B9" s="99"/>
      <c r="C9" s="107">
        <v>2021</v>
      </c>
      <c r="D9" s="107">
        <v>2020</v>
      </c>
      <c r="E9" s="107">
        <v>2019</v>
      </c>
      <c r="F9" s="107">
        <v>2018</v>
      </c>
      <c r="G9" s="107">
        <v>2017</v>
      </c>
      <c r="H9" s="107">
        <v>2016</v>
      </c>
      <c r="I9" s="107">
        <v>2015</v>
      </c>
      <c r="J9" s="107">
        <v>2014</v>
      </c>
      <c r="K9" s="107">
        <v>2013</v>
      </c>
      <c r="L9" s="107">
        <v>2012</v>
      </c>
      <c r="M9" s="107">
        <v>2011</v>
      </c>
      <c r="N9" s="107">
        <v>2010</v>
      </c>
      <c r="O9" s="107">
        <v>2009</v>
      </c>
      <c r="P9" s="108">
        <v>2008</v>
      </c>
      <c r="R9" s="167"/>
    </row>
    <row r="10" spans="1:18" x14ac:dyDescent="0.25">
      <c r="A10" s="99"/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18" x14ac:dyDescent="0.25">
      <c r="A11" s="99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</row>
    <row r="12" spans="1:18" x14ac:dyDescent="0.25">
      <c r="A12" s="99"/>
      <c r="B12" s="138" t="s">
        <v>49</v>
      </c>
      <c r="C12" s="299">
        <v>2.0136386218678135</v>
      </c>
      <c r="D12" s="299">
        <v>2.1466743299335085</v>
      </c>
      <c r="E12" s="125">
        <v>3.48524537984505</v>
      </c>
      <c r="F12" s="125">
        <v>3.1896110000000002</v>
      </c>
      <c r="G12" s="125">
        <v>3.0734919999999999</v>
      </c>
      <c r="H12" s="179">
        <v>3.7909857093864332</v>
      </c>
      <c r="I12" s="48">
        <v>3.7043643581981649</v>
      </c>
      <c r="J12" s="224">
        <v>3.5152233029553566</v>
      </c>
      <c r="K12" s="179">
        <v>3.3813738546302048</v>
      </c>
      <c r="L12" s="179">
        <v>3.5471102718570875</v>
      </c>
      <c r="M12" s="179">
        <v>3.3869075886558764</v>
      </c>
      <c r="N12" s="125">
        <v>3.1579051143908288</v>
      </c>
      <c r="O12" s="125">
        <v>3.1178304013092069</v>
      </c>
      <c r="P12" s="125">
        <v>2.9954524172703731</v>
      </c>
    </row>
    <row r="13" spans="1:18" x14ac:dyDescent="0.25">
      <c r="A13" s="99"/>
      <c r="B13" s="138" t="s">
        <v>33</v>
      </c>
      <c r="C13" s="48">
        <v>13.229605745671535</v>
      </c>
      <c r="D13" s="48">
        <f t="shared" ref="D13:J13" si="0">D12*6.57</f>
        <v>14.103650347663152</v>
      </c>
      <c r="E13" s="48">
        <f t="shared" si="0"/>
        <v>22.898062145581978</v>
      </c>
      <c r="F13" s="48">
        <f t="shared" si="0"/>
        <v>20.955744270000004</v>
      </c>
      <c r="G13" s="48">
        <f t="shared" si="0"/>
        <v>20.19284244</v>
      </c>
      <c r="H13" s="48">
        <f t="shared" si="0"/>
        <v>24.906776110668869</v>
      </c>
      <c r="I13" s="48">
        <f t="shared" si="0"/>
        <v>24.337673833361944</v>
      </c>
      <c r="J13" s="48">
        <f t="shared" si="0"/>
        <v>23.095017100416694</v>
      </c>
      <c r="K13" s="179">
        <v>22.215626224920445</v>
      </c>
      <c r="L13" s="125">
        <v>23.304514486101066</v>
      </c>
      <c r="M13" s="125">
        <v>22.251982857469109</v>
      </c>
      <c r="N13" s="125">
        <v>20.747436601547747</v>
      </c>
      <c r="O13" s="125">
        <v>20.484145736601491</v>
      </c>
      <c r="P13" s="125">
        <v>19.680122381466351</v>
      </c>
    </row>
    <row r="14" spans="1:18" x14ac:dyDescent="0.25">
      <c r="A14" s="99"/>
      <c r="B14" s="136" t="s">
        <v>46</v>
      </c>
      <c r="C14" s="140">
        <v>0.27672868324289307</v>
      </c>
      <c r="D14" s="140">
        <v>0.27272984639999975</v>
      </c>
      <c r="E14" s="140">
        <v>0.294794</v>
      </c>
      <c r="F14" s="140">
        <v>0.265787</v>
      </c>
      <c r="G14" s="140">
        <v>0.25763813487999998</v>
      </c>
      <c r="H14" s="140">
        <v>0.24113100000000001</v>
      </c>
      <c r="I14" s="231">
        <v>0.24670300000000001</v>
      </c>
      <c r="J14" s="231">
        <v>0.218587</v>
      </c>
      <c r="K14" s="140">
        <v>0.21068799999999999</v>
      </c>
      <c r="L14" s="140">
        <v>0.213701</v>
      </c>
      <c r="M14" s="140">
        <v>0.198624</v>
      </c>
      <c r="N14" s="140">
        <v>0.20377600000000001</v>
      </c>
      <c r="O14" s="140">
        <v>0.20134299999999999</v>
      </c>
      <c r="P14" s="140">
        <v>0.21162800000000001</v>
      </c>
      <c r="R14" s="210"/>
    </row>
    <row r="15" spans="1:18" x14ac:dyDescent="0.25">
      <c r="A15" s="99"/>
      <c r="B15" s="136" t="s">
        <v>24</v>
      </c>
      <c r="C15" s="119">
        <v>114.15399982209961</v>
      </c>
      <c r="D15" s="119">
        <v>114.40552675013797</v>
      </c>
      <c r="E15" s="119">
        <v>125.172039</v>
      </c>
      <c r="F15" s="119">
        <v>118.21249899999999</v>
      </c>
      <c r="G15" s="119">
        <v>116.597013749388</v>
      </c>
      <c r="H15" s="119">
        <v>100.05883900000001</v>
      </c>
      <c r="I15" s="55">
        <v>99.300544000000002</v>
      </c>
      <c r="J15" s="55">
        <v>95.466260000000005</v>
      </c>
      <c r="K15" s="119">
        <v>95.262242000000001</v>
      </c>
      <c r="L15" s="119">
        <v>96.025835999999998</v>
      </c>
      <c r="M15" s="119">
        <v>92.552390000000003</v>
      </c>
      <c r="N15" s="119">
        <v>95.542731005649998</v>
      </c>
      <c r="O15" s="119">
        <v>85.821820206400005</v>
      </c>
      <c r="P15" s="119">
        <v>95.232600000000005</v>
      </c>
      <c r="R15" s="210"/>
    </row>
    <row r="16" spans="1:18" x14ac:dyDescent="0.25">
      <c r="A16" s="99"/>
      <c r="B16" s="136" t="s">
        <v>1</v>
      </c>
      <c r="C16" s="181">
        <f t="shared" ref="C16:J16" si="1">C13/C15</f>
        <v>0.11589261669576954</v>
      </c>
      <c r="D16" s="181">
        <f t="shared" si="1"/>
        <v>0.12327770124659772</v>
      </c>
      <c r="E16" s="128">
        <f t="shared" si="1"/>
        <v>0.18293272466051286</v>
      </c>
      <c r="F16" s="128">
        <f t="shared" si="1"/>
        <v>0.17727181514029244</v>
      </c>
      <c r="G16" s="128">
        <f t="shared" si="1"/>
        <v>0.17318490234580292</v>
      </c>
      <c r="H16" s="128">
        <f t="shared" si="1"/>
        <v>0.2489212983039796</v>
      </c>
      <c r="I16" s="230">
        <f t="shared" si="1"/>
        <v>0.24509104233469198</v>
      </c>
      <c r="J16" s="230">
        <f t="shared" si="1"/>
        <v>0.24191810908290209</v>
      </c>
      <c r="K16" s="128">
        <v>0.23320494834585612</v>
      </c>
      <c r="L16" s="214">
        <v>0.24269004527178567</v>
      </c>
      <c r="M16" s="214">
        <v>0.24042580486002693</v>
      </c>
      <c r="N16" s="214">
        <v>0.21715348078464317</v>
      </c>
      <c r="O16" s="214">
        <v>0.23868225688219466</v>
      </c>
      <c r="P16" s="214">
        <v>0.20665320889554994</v>
      </c>
    </row>
    <row r="17" spans="1:18" x14ac:dyDescent="0.25">
      <c r="A17" s="99"/>
      <c r="B17" s="138" t="s">
        <v>18</v>
      </c>
      <c r="C17" s="299">
        <v>34.23106926510259</v>
      </c>
      <c r="D17" s="299">
        <v>35.329000000000001</v>
      </c>
      <c r="E17" s="125">
        <v>35.607999999999997</v>
      </c>
      <c r="F17" s="125">
        <v>35.292000000000002</v>
      </c>
      <c r="G17" s="125">
        <v>33.552999999999997</v>
      </c>
      <c r="H17" s="48">
        <f>31627/1000</f>
        <v>31.626999999999999</v>
      </c>
      <c r="I17" s="238">
        <v>33.966000000000001</v>
      </c>
      <c r="J17" s="48">
        <v>28.763000000000002</v>
      </c>
      <c r="K17" s="179">
        <v>28.44</v>
      </c>
      <c r="L17" s="125">
        <v>28.443999999999999</v>
      </c>
      <c r="M17" s="125">
        <v>27.248000000000001</v>
      </c>
      <c r="N17" s="125">
        <v>27.155000000000001</v>
      </c>
      <c r="O17" s="125">
        <v>27.363</v>
      </c>
      <c r="P17" s="179">
        <v>27.033000000000001</v>
      </c>
      <c r="R17" s="210"/>
    </row>
    <row r="18" spans="1:18" x14ac:dyDescent="0.25">
      <c r="A18" s="99"/>
      <c r="B18" s="138" t="s">
        <v>47</v>
      </c>
      <c r="C18" s="123">
        <v>13.434860991312842</v>
      </c>
      <c r="D18" s="123">
        <v>13.476525000000001</v>
      </c>
      <c r="E18" s="124">
        <v>16.130242903225799</v>
      </c>
      <c r="F18" s="124">
        <v>14.0366033333333</v>
      </c>
      <c r="G18" s="124">
        <v>12.8581533333333</v>
      </c>
      <c r="H18" s="49">
        <v>10.8895</v>
      </c>
      <c r="I18" s="238">
        <v>10.981</v>
      </c>
      <c r="J18" s="48">
        <v>10.803000000000001</v>
      </c>
      <c r="K18" s="179">
        <v>11.747999999999999</v>
      </c>
      <c r="L18" s="125">
        <v>10.568</v>
      </c>
      <c r="M18" s="125">
        <v>11.597</v>
      </c>
      <c r="N18" s="203">
        <v>10.226000000000001</v>
      </c>
      <c r="O18" s="125">
        <v>14.569000000000001</v>
      </c>
      <c r="P18" s="179">
        <v>12.9214</v>
      </c>
      <c r="R18" s="210"/>
    </row>
    <row r="19" spans="1:18" x14ac:dyDescent="0.25">
      <c r="A19" s="99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25"/>
      <c r="R19" s="210"/>
    </row>
    <row r="20" spans="1:18" x14ac:dyDescent="0.25">
      <c r="A20" s="99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19"/>
      <c r="R20" s="210"/>
    </row>
    <row r="21" spans="1:18" x14ac:dyDescent="0.25">
      <c r="A21" s="99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</row>
    <row r="22" spans="1:18" x14ac:dyDescent="0.25">
      <c r="A22" s="99"/>
      <c r="B22" s="117" t="s">
        <v>6</v>
      </c>
      <c r="C22" s="176">
        <v>1.3232386288162512</v>
      </c>
      <c r="D22" s="176">
        <v>1.5651044314093487</v>
      </c>
      <c r="E22" s="176">
        <v>1.354678120916228</v>
      </c>
      <c r="F22" s="139">
        <v>1.2370129958643552</v>
      </c>
      <c r="G22" s="139">
        <v>1.5103611386372009</v>
      </c>
      <c r="H22" s="139">
        <v>1.0943359581996097</v>
      </c>
      <c r="I22" s="239">
        <v>1.1658484455005849</v>
      </c>
      <c r="J22" s="139">
        <v>1.1546536986744802</v>
      </c>
      <c r="K22" s="176">
        <v>1.149</v>
      </c>
      <c r="L22" s="184">
        <v>1.1329200149501668</v>
      </c>
      <c r="M22" s="176">
        <v>1.0208665468378719</v>
      </c>
      <c r="N22" s="139">
        <v>1.3158723086765982</v>
      </c>
      <c r="O22" s="139">
        <v>1.1477784771853863</v>
      </c>
      <c r="P22" s="140">
        <v>1.0509461899999999</v>
      </c>
      <c r="R22" s="210"/>
    </row>
    <row r="23" spans="1:18" ht="15" x14ac:dyDescent="0.35">
      <c r="A23" s="99"/>
      <c r="B23" s="141" t="s">
        <v>44</v>
      </c>
      <c r="C23" s="177">
        <v>0.24212980277572146</v>
      </c>
      <c r="D23" s="177">
        <v>0.3114301479210852</v>
      </c>
      <c r="E23" s="177">
        <v>0.32823738324293783</v>
      </c>
      <c r="F23" s="146">
        <v>0.24794563580047468</v>
      </c>
      <c r="G23" s="146">
        <v>0.3047600317878994</v>
      </c>
      <c r="H23" s="146">
        <v>0.23160855874614436</v>
      </c>
      <c r="I23" s="240">
        <v>0.24793469218545705</v>
      </c>
      <c r="J23" s="146">
        <v>0.24826920709346084</v>
      </c>
      <c r="K23" s="177">
        <v>0.24129999999999999</v>
      </c>
      <c r="L23" s="146">
        <v>0.23858743439028102</v>
      </c>
      <c r="M23" s="146">
        <v>0.24673569599246301</v>
      </c>
      <c r="N23" s="146">
        <v>0.31283971972064201</v>
      </c>
      <c r="O23" s="146">
        <v>0.28530586085205301</v>
      </c>
      <c r="P23" s="142">
        <v>0.27542594319711411</v>
      </c>
      <c r="R23" s="210"/>
    </row>
    <row r="24" spans="1:18" s="308" customFormat="1" x14ac:dyDescent="0.25">
      <c r="B24" s="304"/>
      <c r="C24" s="304"/>
      <c r="D24" s="304"/>
      <c r="E24" s="146"/>
      <c r="F24" s="304"/>
      <c r="G24" s="146"/>
      <c r="H24" s="146"/>
      <c r="I24" s="305"/>
      <c r="J24" s="146"/>
      <c r="K24" s="146"/>
      <c r="L24" s="146"/>
      <c r="M24" s="146"/>
      <c r="N24" s="146"/>
      <c r="O24" s="146"/>
      <c r="P24" s="142"/>
      <c r="Q24" s="309"/>
      <c r="R24" s="310"/>
    </row>
    <row r="25" spans="1:18" s="308" customFormat="1" x14ac:dyDescent="0.25">
      <c r="B25" s="304"/>
      <c r="C25" s="304"/>
      <c r="D25" s="304"/>
      <c r="E25" s="304"/>
      <c r="F25" s="304"/>
      <c r="G25" s="146"/>
      <c r="H25" s="146"/>
      <c r="I25" s="305"/>
      <c r="J25" s="146"/>
      <c r="K25" s="146"/>
      <c r="L25" s="146"/>
      <c r="M25" s="146"/>
      <c r="N25" s="146"/>
      <c r="O25" s="146"/>
      <c r="P25" s="142"/>
      <c r="Q25" s="309"/>
      <c r="R25" s="310"/>
    </row>
    <row r="26" spans="1:18" x14ac:dyDescent="0.25">
      <c r="A26" s="99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8" x14ac:dyDescent="0.25">
      <c r="A27" s="99"/>
      <c r="B27" s="183" t="s">
        <v>2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8" x14ac:dyDescent="0.25">
      <c r="A28" s="99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8" x14ac:dyDescent="0.25">
      <c r="A29" s="99"/>
      <c r="B29" s="138" t="s">
        <v>25</v>
      </c>
      <c r="C29" s="321">
        <v>22.083835605092222</v>
      </c>
      <c r="D29" s="321">
        <v>25.949631573589048</v>
      </c>
      <c r="E29" s="321">
        <v>49.728588418667805</v>
      </c>
      <c r="F29" s="321">
        <v>45.749621030065519</v>
      </c>
      <c r="G29" s="321">
        <v>54.007013100957444</v>
      </c>
      <c r="H29" s="321">
        <v>48.350587379668475</v>
      </c>
      <c r="I29" s="321">
        <v>51.458615965263618</v>
      </c>
      <c r="J29" s="321">
        <v>47.862710382346116</v>
      </c>
      <c r="K29" s="321">
        <v>44.524292656339085</v>
      </c>
      <c r="L29" s="321">
        <v>46.720010855664526</v>
      </c>
      <c r="M29" s="321">
        <v>53.438733560662968</v>
      </c>
      <c r="N29" s="321">
        <v>56.569510553031776</v>
      </c>
      <c r="O29" s="321">
        <v>58.898517799572858</v>
      </c>
      <c r="P29" s="321">
        <v>52.107883967990453</v>
      </c>
      <c r="R29" s="215"/>
    </row>
    <row r="30" spans="1:18" x14ac:dyDescent="0.25">
      <c r="A30" s="99"/>
      <c r="B30" s="138" t="s">
        <v>41</v>
      </c>
      <c r="C30" s="321">
        <v>159.07981866657153</v>
      </c>
      <c r="D30" s="321">
        <v>158.49543458303523</v>
      </c>
      <c r="E30" s="321">
        <v>123.63928050817732</v>
      </c>
      <c r="F30" s="321">
        <v>121.55537241356903</v>
      </c>
      <c r="G30" s="321">
        <v>110.51201491579562</v>
      </c>
      <c r="H30" s="321">
        <v>124.26370323230019</v>
      </c>
      <c r="I30" s="321">
        <v>127.90481861569783</v>
      </c>
      <c r="J30" s="321">
        <v>107.81826679766388</v>
      </c>
      <c r="K30" s="321">
        <v>99.760426196674473</v>
      </c>
      <c r="L30" s="321">
        <v>98.106667250479873</v>
      </c>
      <c r="M30" s="321">
        <v>76.100678438179045</v>
      </c>
      <c r="N30" s="321">
        <v>80.383108339476379</v>
      </c>
      <c r="O30" s="321">
        <v>65.201921577512792</v>
      </c>
      <c r="P30" s="321">
        <v>57.204223986555</v>
      </c>
      <c r="R30" s="215"/>
    </row>
    <row r="31" spans="1:18" x14ac:dyDescent="0.25">
      <c r="A31" s="99"/>
      <c r="B31" s="138" t="s">
        <v>26</v>
      </c>
      <c r="C31" s="321">
        <v>181.16365427166375</v>
      </c>
      <c r="D31" s="321">
        <v>184.44506615662425</v>
      </c>
      <c r="E31" s="321">
        <v>173.36786892684512</v>
      </c>
      <c r="F31" s="321">
        <v>167.30499344363466</v>
      </c>
      <c r="G31" s="321">
        <v>164.54528359869775</v>
      </c>
      <c r="H31" s="321">
        <v>172.6142906119691</v>
      </c>
      <c r="I31" s="321">
        <v>179.43311669571</v>
      </c>
      <c r="J31" s="321">
        <v>155.72965582737484</v>
      </c>
      <c r="K31" s="321">
        <v>144.55435699895725</v>
      </c>
      <c r="L31" s="321">
        <v>144.87276996805113</v>
      </c>
      <c r="M31" s="321">
        <v>129.60144694533761</v>
      </c>
      <c r="N31" s="321">
        <v>136.96522475570035</v>
      </c>
      <c r="O31" s="321">
        <v>124.10043937708564</v>
      </c>
      <c r="P31" s="321">
        <v>109.31210795454547</v>
      </c>
      <c r="R31" s="215"/>
    </row>
    <row r="32" spans="1:18" x14ac:dyDescent="0.25">
      <c r="A32" s="99"/>
      <c r="B32" s="138"/>
      <c r="C32" s="343"/>
      <c r="D32" s="343"/>
      <c r="E32" s="343"/>
      <c r="F32" s="343"/>
      <c r="G32" s="343"/>
      <c r="H32" s="343"/>
      <c r="I32" s="343"/>
      <c r="J32" s="343"/>
      <c r="K32" s="341"/>
      <c r="L32" s="343"/>
      <c r="M32" s="343"/>
      <c r="N32" s="343"/>
      <c r="O32" s="343"/>
      <c r="P32" s="343"/>
    </row>
    <row r="33" spans="1:16" x14ac:dyDescent="0.25">
      <c r="A33" s="99"/>
      <c r="B33" s="138" t="s">
        <v>35</v>
      </c>
      <c r="C33" s="343"/>
      <c r="D33" s="343"/>
      <c r="E33" s="343"/>
      <c r="F33" s="343"/>
      <c r="G33" s="343"/>
      <c r="H33" s="343"/>
      <c r="I33" s="343"/>
      <c r="J33" s="343"/>
      <c r="K33" s="341"/>
      <c r="L33" s="343"/>
      <c r="M33" s="343"/>
      <c r="N33" s="343"/>
      <c r="O33" s="343"/>
      <c r="P33" s="343"/>
    </row>
    <row r="34" spans="1:16" x14ac:dyDescent="0.25">
      <c r="A34" s="99"/>
      <c r="B34" s="117" t="s">
        <v>7</v>
      </c>
      <c r="C34" s="336">
        <v>5292.3749728248758</v>
      </c>
      <c r="D34" s="336">
        <v>5220.7836665805498</v>
      </c>
      <c r="E34" s="336">
        <v>4868.7898485409214</v>
      </c>
      <c r="F34" s="336">
        <v>4740.5925831246359</v>
      </c>
      <c r="G34" s="336">
        <v>4904.0408785711488</v>
      </c>
      <c r="H34" s="336">
        <v>5457.8142287276414</v>
      </c>
      <c r="I34" s="336">
        <v>5282.7273360333857</v>
      </c>
      <c r="J34" s="336">
        <v>5414.2355048977797</v>
      </c>
      <c r="K34" s="336">
        <v>5082.7832981349247</v>
      </c>
      <c r="L34" s="336">
        <v>5093.2629014221329</v>
      </c>
      <c r="M34" s="336">
        <v>4756.365492709102</v>
      </c>
      <c r="N34" s="336">
        <v>5043.8307772307253</v>
      </c>
      <c r="O34" s="336">
        <v>4535.3374767783371</v>
      </c>
      <c r="P34" s="336">
        <v>4043.6543467075599</v>
      </c>
    </row>
    <row r="35" spans="1:16" x14ac:dyDescent="0.25">
      <c r="A35" s="99"/>
      <c r="B35" s="135" t="s">
        <v>15</v>
      </c>
      <c r="C35" s="337">
        <v>1.5870110075336268</v>
      </c>
      <c r="D35" s="337">
        <v>1.6122041600267516</v>
      </c>
      <c r="E35" s="337">
        <v>1.3850367087720374</v>
      </c>
      <c r="F35" s="337">
        <v>1.415290217692079</v>
      </c>
      <c r="G35" s="337">
        <v>1.4112306851388929</v>
      </c>
      <c r="H35" s="337">
        <v>1.7251278581392404</v>
      </c>
      <c r="I35" s="337">
        <v>1.80697012793515</v>
      </c>
      <c r="J35" s="337">
        <v>1.631253343614538</v>
      </c>
      <c r="K35" s="337">
        <v>1.5174360162440566</v>
      </c>
      <c r="L35" s="337">
        <v>1.5086853288947273</v>
      </c>
      <c r="M35" s="337">
        <v>1.400303622038692</v>
      </c>
      <c r="N35" s="337">
        <v>1.4335494005043754</v>
      </c>
      <c r="O35" s="337">
        <v>1.4460243220037305</v>
      </c>
      <c r="P35" s="337">
        <v>1.1478433640848351</v>
      </c>
    </row>
    <row r="36" spans="1:16" x14ac:dyDescent="0.25">
      <c r="A36" s="99"/>
      <c r="B36" s="117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</row>
    <row r="37" spans="1:16" x14ac:dyDescent="0.25">
      <c r="A37" s="99"/>
      <c r="B37" s="117" t="s">
        <v>36</v>
      </c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</row>
    <row r="38" spans="1:16" x14ac:dyDescent="0.25">
      <c r="A38" s="99"/>
      <c r="B38" s="117" t="s">
        <v>8</v>
      </c>
      <c r="C38" s="323">
        <v>10.967129536186423</v>
      </c>
      <c r="D38" s="323">
        <v>12.0882945362247</v>
      </c>
      <c r="E38" s="323">
        <v>14.268317721973045</v>
      </c>
      <c r="F38" s="323">
        <v>14.343323066689171</v>
      </c>
      <c r="G38" s="323">
        <v>17.571873654122882</v>
      </c>
      <c r="H38" s="323">
        <v>12.754093812580994</v>
      </c>
      <c r="I38" s="323">
        <v>13.891348417544309</v>
      </c>
      <c r="J38" s="323">
        <v>13.615837816649218</v>
      </c>
      <c r="K38" s="323">
        <v>13.167515504199807</v>
      </c>
      <c r="L38" s="323">
        <v>13.171287971040238</v>
      </c>
      <c r="M38" s="323">
        <v>15.778031186812095</v>
      </c>
      <c r="N38" s="323">
        <v>17.91361947363141</v>
      </c>
      <c r="O38" s="323">
        <v>18.890866473955995</v>
      </c>
      <c r="P38" s="323">
        <v>17.395664063151479</v>
      </c>
    </row>
    <row r="39" spans="1:16" x14ac:dyDescent="0.25">
      <c r="A39" s="99"/>
      <c r="B39" s="117" t="s">
        <v>9</v>
      </c>
      <c r="C39" s="323">
        <v>1.6692739020070659</v>
      </c>
      <c r="D39" s="323">
        <v>1.8399230648743834</v>
      </c>
      <c r="E39" s="323">
        <v>2.1717378572257298</v>
      </c>
      <c r="F39" s="323">
        <v>2.1831541958431004</v>
      </c>
      <c r="G39" s="323">
        <v>2.6745622000187037</v>
      </c>
      <c r="H39" s="323">
        <v>1.9412623763441388</v>
      </c>
      <c r="I39" s="323">
        <v>2.1143604897327717</v>
      </c>
      <c r="J39" s="323">
        <v>2.072425847282986</v>
      </c>
      <c r="K39" s="323">
        <v>2.0041880523896207</v>
      </c>
      <c r="L39" s="323">
        <v>2.0047622482557439</v>
      </c>
      <c r="M39" s="323">
        <v>2.4015268168663764</v>
      </c>
      <c r="N39" s="323">
        <v>2.7265783064887987</v>
      </c>
      <c r="O39" s="323">
        <v>2.8753221421546411</v>
      </c>
      <c r="P39" s="323">
        <v>2.6477418665375159</v>
      </c>
    </row>
    <row r="40" spans="1:16" x14ac:dyDescent="0.25">
      <c r="A40" s="99"/>
      <c r="B40" s="135" t="s">
        <v>16</v>
      </c>
      <c r="C40" s="323">
        <v>0.19345652048555648</v>
      </c>
      <c r="D40" s="323">
        <v>0.22682148590830867</v>
      </c>
      <c r="E40" s="323">
        <v>0.39728192347068664</v>
      </c>
      <c r="F40" s="323">
        <v>0.38701170702825188</v>
      </c>
      <c r="G40" s="323">
        <v>0.46319379342801498</v>
      </c>
      <c r="H40" s="323">
        <v>0.48322155106825165</v>
      </c>
      <c r="I40" s="323">
        <v>0.51821081629989474</v>
      </c>
      <c r="J40" s="323">
        <v>0.50135734218923123</v>
      </c>
      <c r="K40" s="323">
        <v>0.46738657123290345</v>
      </c>
      <c r="L40" s="323">
        <v>0.48653584078835332</v>
      </c>
      <c r="M40" s="323">
        <v>0.57738901783803709</v>
      </c>
      <c r="N40" s="323">
        <v>0.59208596988594031</v>
      </c>
      <c r="O40" s="323">
        <v>0.68628837815281629</v>
      </c>
      <c r="P40" s="323">
        <v>0.54716435304707056</v>
      </c>
    </row>
    <row r="41" spans="1:16" x14ac:dyDescent="0.25">
      <c r="A41" s="99"/>
      <c r="B41" s="117" t="s">
        <v>10</v>
      </c>
      <c r="C41" s="323">
        <v>89.968305287877186</v>
      </c>
      <c r="D41" s="323">
        <v>85.921307943500352</v>
      </c>
      <c r="E41" s="323">
        <v>49.743375295587612</v>
      </c>
      <c r="F41" s="323">
        <v>52.453102727459445</v>
      </c>
      <c r="G41" s="323">
        <v>53.536916184814459</v>
      </c>
      <c r="H41" s="323">
        <v>45.532825456075521</v>
      </c>
      <c r="I41" s="323">
        <v>48.438301242858259</v>
      </c>
      <c r="J41" s="323">
        <v>44.301497346256248</v>
      </c>
      <c r="K41" s="323">
        <v>42.750184751388886</v>
      </c>
      <c r="L41" s="323">
        <v>40.842477077038566</v>
      </c>
      <c r="M41" s="323">
        <v>38.265421642865391</v>
      </c>
      <c r="N41" s="323">
        <v>43.372178641954363</v>
      </c>
      <c r="O41" s="323">
        <v>39.803460549032643</v>
      </c>
      <c r="P41" s="323">
        <v>36.492687156138132</v>
      </c>
    </row>
    <row r="42" spans="1:16" x14ac:dyDescent="0.25">
      <c r="A42" s="99"/>
      <c r="B42" s="200" t="s">
        <v>11</v>
      </c>
      <c r="C42" s="339">
        <v>13.693805979889984</v>
      </c>
      <c r="D42" s="339">
        <v>13.077824648934604</v>
      </c>
      <c r="E42" s="339">
        <v>7.5712899993284033</v>
      </c>
      <c r="F42" s="339">
        <v>7.9837294866757134</v>
      </c>
      <c r="G42" s="339">
        <v>8.148693483228989</v>
      </c>
      <c r="H42" s="339">
        <v>6.9304148334970339</v>
      </c>
      <c r="I42" s="339">
        <v>7.3726485909982129</v>
      </c>
      <c r="J42" s="339">
        <v>6.7429980740116049</v>
      </c>
      <c r="K42" s="339">
        <v>6.5068774355234229</v>
      </c>
      <c r="L42" s="339">
        <v>6.2165109706299182</v>
      </c>
      <c r="M42" s="339">
        <v>5.8242650902382636</v>
      </c>
      <c r="N42" s="339">
        <v>6.6015492605714394</v>
      </c>
      <c r="O42" s="339">
        <v>6.0583653803702653</v>
      </c>
      <c r="P42" s="339">
        <v>5.5544424895187419</v>
      </c>
    </row>
    <row r="43" spans="1:16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1:16" x14ac:dyDescent="0.25">
      <c r="A44" s="99"/>
      <c r="B44" s="159" t="s">
        <v>39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</row>
    <row r="45" spans="1:16" ht="15.6" x14ac:dyDescent="0.3">
      <c r="A45" s="99"/>
      <c r="B45" s="269" t="s">
        <v>96</v>
      </c>
      <c r="C45" s="269"/>
      <c r="D45" s="269"/>
      <c r="E45" s="254"/>
      <c r="F45" s="254"/>
      <c r="G45" s="254"/>
      <c r="H45" s="254"/>
      <c r="I45" s="254"/>
      <c r="J45" s="254"/>
      <c r="K45" s="254"/>
      <c r="L45" s="254"/>
      <c r="M45" s="254"/>
      <c r="N45" s="159"/>
      <c r="O45" s="159"/>
    </row>
    <row r="46" spans="1:16" ht="15.6" x14ac:dyDescent="0.3">
      <c r="A46" s="99"/>
      <c r="B46" s="269" t="s">
        <v>83</v>
      </c>
      <c r="C46" s="269"/>
      <c r="D46" s="269"/>
      <c r="E46" s="254"/>
      <c r="F46" s="254"/>
      <c r="G46" s="254"/>
      <c r="H46" s="254"/>
      <c r="I46" s="254"/>
      <c r="J46" s="254"/>
      <c r="K46" s="254"/>
      <c r="L46" s="254"/>
      <c r="M46" s="254"/>
      <c r="N46" s="159"/>
      <c r="O46" s="159"/>
    </row>
    <row r="47" spans="1:16" x14ac:dyDescent="0.25">
      <c r="A47" s="9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</row>
    <row r="48" spans="1:16" x14ac:dyDescent="0.25">
      <c r="A48" s="99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</row>
    <row r="49" spans="1:15" x14ac:dyDescent="0.25">
      <c r="A49" s="99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</row>
    <row r="50" spans="1:15" x14ac:dyDescent="0.25">
      <c r="A50" s="99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</row>
    <row r="51" spans="1:15" x14ac:dyDescent="0.25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</row>
    <row r="52" spans="1:15" x14ac:dyDescent="0.25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</row>
    <row r="53" spans="1:15" x14ac:dyDescent="0.25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</row>
    <row r="54" spans="1:15" x14ac:dyDescent="0.25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</row>
    <row r="55" spans="1:15" x14ac:dyDescent="0.25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</row>
    <row r="56" spans="1:15" x14ac:dyDescent="0.25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</row>
    <row r="57" spans="1:15" x14ac:dyDescent="0.25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</row>
    <row r="58" spans="1:15" x14ac:dyDescent="0.2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1:15" x14ac:dyDescent="0.25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</row>
    <row r="60" spans="1:15" x14ac:dyDescent="0.25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</row>
    <row r="61" spans="1:15" x14ac:dyDescent="0.2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</row>
    <row r="62" spans="1:15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</row>
    <row r="63" spans="1:15" x14ac:dyDescent="0.25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</row>
    <row r="64" spans="1:15" x14ac:dyDescent="0.25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</row>
    <row r="65" spans="2:15" x14ac:dyDescent="0.25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</row>
    <row r="66" spans="2:15" x14ac:dyDescent="0.25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</row>
    <row r="67" spans="2:15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</row>
    <row r="68" spans="2:15" x14ac:dyDescent="0.25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</row>
    <row r="69" spans="2:15" x14ac:dyDescent="0.25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</row>
    <row r="70" spans="2:15" x14ac:dyDescent="0.25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</row>
    <row r="71" spans="2:15" x14ac:dyDescent="0.25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</row>
    <row r="72" spans="2:15" x14ac:dyDescent="0.25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</row>
    <row r="73" spans="2:15" x14ac:dyDescent="0.25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</row>
    <row r="74" spans="2:15" x14ac:dyDescent="0.25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</row>
    <row r="75" spans="2:15" x14ac:dyDescent="0.25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</row>
    <row r="76" spans="2:15" x14ac:dyDescent="0.25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</row>
    <row r="77" spans="2:15" x14ac:dyDescent="0.25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</row>
    <row r="78" spans="2:15" x14ac:dyDescent="0.25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</row>
    <row r="79" spans="2:15" x14ac:dyDescent="0.25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</row>
    <row r="80" spans="2:15" x14ac:dyDescent="0.25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</row>
    <row r="81" spans="2:15" x14ac:dyDescent="0.25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</row>
    <row r="82" spans="2:15" x14ac:dyDescent="0.25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</row>
    <row r="83" spans="2:15" x14ac:dyDescent="0.25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</row>
    <row r="84" spans="2:15" x14ac:dyDescent="0.25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</row>
    <row r="85" spans="2:15" x14ac:dyDescent="0.25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</row>
    <row r="86" spans="2:15" x14ac:dyDescent="0.25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</row>
    <row r="87" spans="2:15" x14ac:dyDescent="0.25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</row>
    <row r="88" spans="2:15" x14ac:dyDescent="0.25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</row>
    <row r="89" spans="2:15" x14ac:dyDescent="0.25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</row>
    <row r="90" spans="2:15" x14ac:dyDescent="0.25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</row>
    <row r="91" spans="2:15" x14ac:dyDescent="0.25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</row>
    <row r="92" spans="2:15" x14ac:dyDescent="0.25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</row>
    <row r="93" spans="2:15" x14ac:dyDescent="0.25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</row>
    <row r="94" spans="2:15" x14ac:dyDescent="0.25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</row>
    <row r="95" spans="2:15" x14ac:dyDescent="0.25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</row>
    <row r="96" spans="2:15" x14ac:dyDescent="0.25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</row>
    <row r="97" spans="2:15" x14ac:dyDescent="0.25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</row>
    <row r="98" spans="2:15" x14ac:dyDescent="0.25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</row>
    <row r="99" spans="2:15" x14ac:dyDescent="0.25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2:15" x14ac:dyDescent="0.25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1" spans="2:15" x14ac:dyDescent="0.25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</row>
    <row r="102" spans="2:15" x14ac:dyDescent="0.25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</row>
    <row r="103" spans="2:15" x14ac:dyDescent="0.25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</row>
    <row r="104" spans="2:15" x14ac:dyDescent="0.25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</row>
    <row r="105" spans="2:15" x14ac:dyDescent="0.25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</row>
    <row r="106" spans="2:15" x14ac:dyDescent="0.25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</row>
    <row r="107" spans="2:15" x14ac:dyDescent="0.25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</row>
    <row r="108" spans="2:15" x14ac:dyDescent="0.25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</row>
    <row r="109" spans="2:15" x14ac:dyDescent="0.25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</row>
    <row r="110" spans="2:15" x14ac:dyDescent="0.25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</row>
    <row r="111" spans="2:15" x14ac:dyDescent="0.25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</row>
    <row r="112" spans="2:15" x14ac:dyDescent="0.25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</row>
    <row r="113" spans="2:15" x14ac:dyDescent="0.25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</row>
    <row r="114" spans="2:15" x14ac:dyDescent="0.25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</row>
    <row r="115" spans="2:15" x14ac:dyDescent="0.25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</row>
    <row r="116" spans="2:15" x14ac:dyDescent="0.25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</row>
    <row r="117" spans="2:15" x14ac:dyDescent="0.25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</row>
    <row r="118" spans="2:15" x14ac:dyDescent="0.25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</row>
    <row r="119" spans="2:15" x14ac:dyDescent="0.25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</row>
    <row r="120" spans="2:15" x14ac:dyDescent="0.25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</row>
    <row r="121" spans="2:15" x14ac:dyDescent="0.25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</row>
    <row r="122" spans="2:15" x14ac:dyDescent="0.25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</row>
    <row r="123" spans="2:15" x14ac:dyDescent="0.25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</row>
    <row r="124" spans="2:15" x14ac:dyDescent="0.25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</row>
    <row r="125" spans="2:15" x14ac:dyDescent="0.25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</row>
    <row r="126" spans="2:15" x14ac:dyDescent="0.25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</row>
    <row r="127" spans="2:15" x14ac:dyDescent="0.25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</row>
    <row r="128" spans="2:15" x14ac:dyDescent="0.25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</row>
    <row r="129" spans="2:15" x14ac:dyDescent="0.25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</row>
    <row r="130" spans="2:15" x14ac:dyDescent="0.25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</row>
    <row r="131" spans="2:15" x14ac:dyDescent="0.25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</row>
    <row r="132" spans="2:15" x14ac:dyDescent="0.25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</row>
    <row r="133" spans="2:15" x14ac:dyDescent="0.25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</row>
    <row r="134" spans="2:15" x14ac:dyDescent="0.25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</row>
    <row r="135" spans="2:15" x14ac:dyDescent="0.25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</row>
    <row r="136" spans="2:15" x14ac:dyDescent="0.25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</row>
    <row r="137" spans="2:15" x14ac:dyDescent="0.25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</row>
    <row r="138" spans="2:15" x14ac:dyDescent="0.25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</row>
    <row r="139" spans="2:15" x14ac:dyDescent="0.25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</row>
    <row r="140" spans="2:15" x14ac:dyDescent="0.25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</row>
    <row r="141" spans="2:15" x14ac:dyDescent="0.25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</row>
    <row r="142" spans="2:15" x14ac:dyDescent="0.25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</row>
    <row r="143" spans="2:15" x14ac:dyDescent="0.25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</row>
    <row r="144" spans="2:15" x14ac:dyDescent="0.25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</row>
    <row r="145" spans="2:15" x14ac:dyDescent="0.25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</row>
    <row r="146" spans="2:15" x14ac:dyDescent="0.25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</row>
    <row r="147" spans="2:15" x14ac:dyDescent="0.25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</row>
    <row r="148" spans="2:15" x14ac:dyDescent="0.25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</row>
    <row r="149" spans="2:15" x14ac:dyDescent="0.25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</row>
    <row r="150" spans="2:15" x14ac:dyDescent="0.25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</row>
    <row r="151" spans="2:15" x14ac:dyDescent="0.25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</row>
    <row r="152" spans="2:15" x14ac:dyDescent="0.25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</row>
    <row r="153" spans="2:15" x14ac:dyDescent="0.25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</row>
    <row r="154" spans="2:15" x14ac:dyDescent="0.25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</row>
    <row r="155" spans="2:15" x14ac:dyDescent="0.25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</row>
    <row r="156" spans="2:15" x14ac:dyDescent="0.25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</row>
    <row r="157" spans="2:15" x14ac:dyDescent="0.25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</row>
    <row r="158" spans="2:15" x14ac:dyDescent="0.25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</row>
    <row r="159" spans="2:15" x14ac:dyDescent="0.25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</row>
    <row r="160" spans="2:15" x14ac:dyDescent="0.25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</row>
    <row r="161" spans="2:15" x14ac:dyDescent="0.25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</row>
    <row r="162" spans="2:15" x14ac:dyDescent="0.25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</row>
    <row r="163" spans="2:15" x14ac:dyDescent="0.25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</row>
    <row r="164" spans="2:15" x14ac:dyDescent="0.25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</row>
    <row r="165" spans="2:15" x14ac:dyDescent="0.25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</row>
    <row r="166" spans="2:15" x14ac:dyDescent="0.25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</row>
    <row r="167" spans="2:15" x14ac:dyDescent="0.25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</row>
    <row r="168" spans="2:15" x14ac:dyDescent="0.25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</row>
    <row r="169" spans="2:15" x14ac:dyDescent="0.25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</row>
    <row r="170" spans="2:15" x14ac:dyDescent="0.25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</row>
    <row r="171" spans="2:15" x14ac:dyDescent="0.25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</row>
    <row r="172" spans="2:15" x14ac:dyDescent="0.25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</row>
    <row r="173" spans="2:15" x14ac:dyDescent="0.25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</row>
    <row r="174" spans="2:15" x14ac:dyDescent="0.25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</row>
    <row r="175" spans="2:15" x14ac:dyDescent="0.25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</row>
    <row r="176" spans="2:15" x14ac:dyDescent="0.25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</row>
    <row r="177" spans="2:15" x14ac:dyDescent="0.25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</row>
    <row r="178" spans="2:15" x14ac:dyDescent="0.25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</row>
    <row r="179" spans="2:15" x14ac:dyDescent="0.25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</row>
    <row r="180" spans="2:15" x14ac:dyDescent="0.25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</row>
    <row r="181" spans="2:15" x14ac:dyDescent="0.25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</row>
    <row r="182" spans="2:15" x14ac:dyDescent="0.25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</row>
    <row r="183" spans="2:15" x14ac:dyDescent="0.25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</row>
    <row r="184" spans="2:15" x14ac:dyDescent="0.25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</row>
    <row r="185" spans="2:15" x14ac:dyDescent="0.25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2:15" x14ac:dyDescent="0.25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</row>
    <row r="187" spans="2:15" x14ac:dyDescent="0.25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</row>
    <row r="188" spans="2:15" x14ac:dyDescent="0.25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</row>
    <row r="189" spans="2:15" x14ac:dyDescent="0.25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</row>
    <row r="190" spans="2:15" x14ac:dyDescent="0.25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</row>
    <row r="191" spans="2:15" x14ac:dyDescent="0.25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</row>
    <row r="192" spans="2:15" x14ac:dyDescent="0.25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</row>
    <row r="193" spans="2:15" x14ac:dyDescent="0.25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</row>
    <row r="194" spans="2:15" x14ac:dyDescent="0.25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</row>
    <row r="195" spans="2:15" x14ac:dyDescent="0.25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</row>
    <row r="196" spans="2:15" x14ac:dyDescent="0.25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</row>
    <row r="197" spans="2:15" x14ac:dyDescent="0.25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</row>
    <row r="198" spans="2:15" x14ac:dyDescent="0.25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</row>
    <row r="199" spans="2:15" x14ac:dyDescent="0.25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</row>
    <row r="200" spans="2:15" x14ac:dyDescent="0.25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</row>
    <row r="201" spans="2:15" x14ac:dyDescent="0.25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</row>
    <row r="202" spans="2:15" x14ac:dyDescent="0.25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</row>
    <row r="203" spans="2:15" x14ac:dyDescent="0.25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</row>
    <row r="204" spans="2:15" x14ac:dyDescent="0.25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</row>
    <row r="205" spans="2:15" x14ac:dyDescent="0.25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</row>
    <row r="206" spans="2:15" x14ac:dyDescent="0.25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</row>
    <row r="207" spans="2:15" x14ac:dyDescent="0.25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</row>
    <row r="208" spans="2:15" x14ac:dyDescent="0.25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</row>
    <row r="209" spans="2:15" x14ac:dyDescent="0.25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</row>
    <row r="210" spans="2:15" x14ac:dyDescent="0.25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</row>
    <row r="211" spans="2:15" x14ac:dyDescent="0.25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</row>
    <row r="212" spans="2:15" x14ac:dyDescent="0.25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</row>
    <row r="213" spans="2:15" x14ac:dyDescent="0.25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</row>
    <row r="214" spans="2:15" x14ac:dyDescent="0.25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</row>
    <row r="215" spans="2:15" x14ac:dyDescent="0.25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</row>
    <row r="216" spans="2:15" x14ac:dyDescent="0.25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</row>
    <row r="217" spans="2:15" x14ac:dyDescent="0.25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</row>
    <row r="218" spans="2:15" x14ac:dyDescent="0.25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</row>
    <row r="219" spans="2:15" x14ac:dyDescent="0.25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</row>
    <row r="220" spans="2:15" x14ac:dyDescent="0.25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</row>
    <row r="221" spans="2:15" x14ac:dyDescent="0.25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</row>
    <row r="222" spans="2:15" x14ac:dyDescent="0.25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</row>
    <row r="223" spans="2:15" x14ac:dyDescent="0.25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</row>
    <row r="224" spans="2:15" x14ac:dyDescent="0.25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</row>
    <row r="225" spans="2:15" x14ac:dyDescent="0.25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</row>
    <row r="226" spans="2:15" x14ac:dyDescent="0.25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</row>
    <row r="227" spans="2:15" x14ac:dyDescent="0.25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</row>
    <row r="228" spans="2:15" x14ac:dyDescent="0.25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</row>
    <row r="229" spans="2:15" x14ac:dyDescent="0.25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</row>
    <row r="230" spans="2:15" x14ac:dyDescent="0.25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</row>
    <row r="231" spans="2:15" x14ac:dyDescent="0.25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</row>
    <row r="232" spans="2:15" x14ac:dyDescent="0.25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</row>
    <row r="233" spans="2:15" x14ac:dyDescent="0.25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</row>
    <row r="234" spans="2:15" x14ac:dyDescent="0.25"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</row>
    <row r="235" spans="2:15" x14ac:dyDescent="0.25"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</row>
    <row r="236" spans="2:15" x14ac:dyDescent="0.25"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</row>
    <row r="237" spans="2:15" x14ac:dyDescent="0.25"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</row>
  </sheetData>
  <pageMargins left="0.49" right="0.19685039370078741" top="0.68" bottom="0.81" header="0.55118110236220474" footer="0.51181102362204722"/>
  <pageSetup paperSize="9" scale="67" orientation="landscape" horizontalDpi="4294967292" r:id="rId1"/>
  <headerFooter alignWithMargins="0">
    <oddHeader>&amp;A</oddHeader>
    <oddFooter>&amp;L&amp;BAS Oslo SporveierKonfidensielt&amp;B&amp;C&amp;D&amp;RSide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  <pageSetUpPr fitToPage="1"/>
  </sheetPr>
  <dimension ref="A1:R233"/>
  <sheetViews>
    <sheetView zoomScale="90" workbookViewId="0">
      <selection activeCell="C29" sqref="C29:P42"/>
    </sheetView>
  </sheetViews>
  <sheetFormatPr baseColWidth="10" defaultColWidth="9.109375" defaultRowHeight="13.2" x14ac:dyDescent="0.25"/>
  <cols>
    <col min="1" max="1" width="11.44140625" style="87" customWidth="1"/>
    <col min="2" max="2" width="45.88671875" style="87" customWidth="1"/>
    <col min="3" max="3" width="15.6640625" style="87" customWidth="1"/>
    <col min="4" max="4" width="17.33203125" style="87" customWidth="1"/>
    <col min="5" max="5" width="16.109375" style="87" customWidth="1"/>
    <col min="6" max="6" width="14.6640625" style="87" customWidth="1"/>
    <col min="7" max="7" width="14" style="87" customWidth="1"/>
    <col min="8" max="9" width="14.33203125" style="87" customWidth="1"/>
    <col min="10" max="15" width="14.5546875" style="87" customWidth="1"/>
    <col min="16" max="16384" width="9.109375" style="87"/>
  </cols>
  <sheetData>
    <row r="1" spans="1:18" s="207" customFormat="1" ht="17.399999999999999" x14ac:dyDescent="0.3"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8" x14ac:dyDescent="0.25">
      <c r="B2" s="209"/>
      <c r="C2" s="209"/>
      <c r="D2" s="209"/>
      <c r="E2" s="209"/>
      <c r="F2" s="209"/>
      <c r="G2" s="209"/>
      <c r="H2" s="209"/>
      <c r="I2" s="209"/>
      <c r="J2" s="209"/>
      <c r="K2" s="92"/>
      <c r="L2" s="93"/>
      <c r="M2" s="94"/>
      <c r="N2" s="92"/>
      <c r="O2" s="92"/>
      <c r="Q2" s="210"/>
    </row>
    <row r="3" spans="1:18" x14ac:dyDescent="0.25">
      <c r="B3" s="209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Q3" s="210"/>
    </row>
    <row r="4" spans="1:18" x14ac:dyDescent="0.25">
      <c r="B4" s="211"/>
      <c r="C4" s="211"/>
      <c r="D4" s="211"/>
      <c r="E4" s="211"/>
      <c r="F4" s="211"/>
      <c r="G4" s="211"/>
      <c r="H4" s="211"/>
      <c r="I4" s="211"/>
      <c r="J4" s="211"/>
      <c r="K4" s="97"/>
      <c r="L4" s="97"/>
      <c r="M4" s="97"/>
      <c r="N4" s="97"/>
      <c r="O4" s="97"/>
    </row>
    <row r="5" spans="1:18" x14ac:dyDescent="0.25">
      <c r="A5" s="99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18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8" x14ac:dyDescent="0.25">
      <c r="A7" s="99"/>
      <c r="B7" s="99"/>
      <c r="C7" s="99"/>
      <c r="D7" s="301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8" x14ac:dyDescent="0.25">
      <c r="A8" s="99"/>
      <c r="B8" s="103" t="s">
        <v>72</v>
      </c>
      <c r="C8" s="103"/>
      <c r="D8" s="103"/>
      <c r="E8" s="103"/>
      <c r="F8" s="103"/>
      <c r="G8" s="103"/>
      <c r="H8" s="103"/>
      <c r="I8" s="103"/>
      <c r="J8" s="103"/>
      <c r="K8" s="99"/>
      <c r="L8" s="99"/>
      <c r="M8" s="99"/>
      <c r="N8" s="99"/>
      <c r="O8" s="99"/>
    </row>
    <row r="9" spans="1:18" ht="13.8" x14ac:dyDescent="0.3">
      <c r="A9" s="99"/>
      <c r="B9" s="99"/>
      <c r="C9" s="107">
        <v>2021</v>
      </c>
      <c r="D9" s="107">
        <v>2020</v>
      </c>
      <c r="E9" s="107">
        <v>2019</v>
      </c>
      <c r="F9" s="107">
        <v>2018</v>
      </c>
      <c r="G9" s="107">
        <v>2017</v>
      </c>
      <c r="H9" s="107">
        <v>2016</v>
      </c>
      <c r="I9" s="107">
        <v>2015</v>
      </c>
      <c r="J9" s="107">
        <v>2014</v>
      </c>
      <c r="K9" s="107">
        <v>2013</v>
      </c>
      <c r="L9" s="107">
        <v>2012</v>
      </c>
      <c r="M9" s="107">
        <v>2011</v>
      </c>
      <c r="N9" s="107">
        <v>2010</v>
      </c>
      <c r="O9" s="107">
        <v>2009</v>
      </c>
      <c r="P9" s="108">
        <v>2008</v>
      </c>
      <c r="R9" s="167"/>
    </row>
    <row r="10" spans="1:18" x14ac:dyDescent="0.25">
      <c r="A10" s="99"/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</row>
    <row r="11" spans="1:18" x14ac:dyDescent="0.25">
      <c r="A11" s="99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</row>
    <row r="12" spans="1:18" x14ac:dyDescent="0.25">
      <c r="A12" s="99"/>
      <c r="B12" s="138" t="s">
        <v>12</v>
      </c>
      <c r="C12" s="179">
        <v>0.58386499999999997</v>
      </c>
      <c r="D12" s="179">
        <v>0.47831499999999999</v>
      </c>
      <c r="E12" s="179">
        <f>867318/1000000</f>
        <v>0.86731800000000003</v>
      </c>
      <c r="F12" s="179">
        <v>1.1856739999999999</v>
      </c>
      <c r="G12" s="179">
        <v>0.84725200000000001</v>
      </c>
      <c r="H12" s="250">
        <v>0.78362399999999999</v>
      </c>
      <c r="I12" s="48">
        <v>0.73591300000000004</v>
      </c>
      <c r="J12" s="48">
        <v>0.69811400000000001</v>
      </c>
      <c r="K12" s="179">
        <v>1.0573490000000001</v>
      </c>
      <c r="L12" s="179">
        <v>0.91936700000000005</v>
      </c>
      <c r="M12" s="179">
        <v>0.96742600000000001</v>
      </c>
      <c r="N12" s="125">
        <v>1.039709</v>
      </c>
      <c r="O12" s="125">
        <v>1.001379</v>
      </c>
      <c r="P12" s="179">
        <v>1.0152000000000001</v>
      </c>
    </row>
    <row r="13" spans="1:18" x14ac:dyDescent="0.25">
      <c r="A13" s="99"/>
      <c r="B13" s="138" t="s">
        <v>78</v>
      </c>
      <c r="C13" s="48">
        <v>1.868368</v>
      </c>
      <c r="D13" s="48">
        <f t="shared" ref="D13:I13" si="0">D12*3.2</f>
        <v>1.530608</v>
      </c>
      <c r="E13" s="48">
        <f t="shared" si="0"/>
        <v>2.7754176000000004</v>
      </c>
      <c r="F13" s="48">
        <f t="shared" si="0"/>
        <v>3.7941567999999997</v>
      </c>
      <c r="G13" s="48">
        <f t="shared" si="0"/>
        <v>2.7112064</v>
      </c>
      <c r="H13" s="48">
        <f t="shared" si="0"/>
        <v>2.5075968</v>
      </c>
      <c r="I13" s="48">
        <f t="shared" si="0"/>
        <v>2.3549216000000004</v>
      </c>
      <c r="J13" s="48">
        <f>J12*2.1</f>
        <v>1.4660394000000001</v>
      </c>
      <c r="K13" s="179">
        <v>2.2204329000000005</v>
      </c>
      <c r="L13" s="125">
        <v>1.9306707000000001</v>
      </c>
      <c r="M13" s="125">
        <v>2.0315946</v>
      </c>
      <c r="N13" s="125">
        <v>2.1833889000000002</v>
      </c>
      <c r="O13" s="125">
        <v>2.1028959</v>
      </c>
      <c r="P13" s="125">
        <v>2.1319200000000005</v>
      </c>
    </row>
    <row r="14" spans="1:18" x14ac:dyDescent="0.25">
      <c r="A14" s="99"/>
      <c r="B14" s="136" t="s">
        <v>46</v>
      </c>
      <c r="C14" s="140">
        <v>8.3870723800735944E-2</v>
      </c>
      <c r="D14" s="140">
        <v>7.667480670549659E-2</v>
      </c>
      <c r="E14" s="140">
        <f>83406/1000000</f>
        <v>8.3405999999999994E-2</v>
      </c>
      <c r="F14" s="140">
        <v>8.6153899999999992E-2</v>
      </c>
      <c r="G14" s="140">
        <v>7.7034500000000006E-2</v>
      </c>
      <c r="H14" s="231">
        <v>7.3582570000000014E-2</v>
      </c>
      <c r="I14" s="231">
        <f>59687.81/1000000</f>
        <v>5.9687810000000001E-2</v>
      </c>
      <c r="J14" s="233">
        <v>4.40218E-2</v>
      </c>
      <c r="K14" s="140">
        <v>8.7959999999999997E-2</v>
      </c>
      <c r="L14" s="140">
        <v>8.6980648000000008E-2</v>
      </c>
      <c r="M14" s="140">
        <v>8.2960024000000007E-2</v>
      </c>
      <c r="N14" s="140">
        <v>8.2211532650000002E-2</v>
      </c>
      <c r="O14" s="140">
        <v>8.4675585479999996E-2</v>
      </c>
      <c r="P14" s="140">
        <v>8.9153024570000003E-2</v>
      </c>
      <c r="R14" s="210"/>
    </row>
    <row r="15" spans="1:18" x14ac:dyDescent="0.25">
      <c r="A15" s="99"/>
      <c r="B15" s="136" t="s">
        <v>24</v>
      </c>
      <c r="C15" s="119">
        <v>19.905706587479255</v>
      </c>
      <c r="D15" s="119">
        <v>18.180549248025027</v>
      </c>
      <c r="E15" s="119">
        <f>19805848/1000000</f>
        <v>19.805848000000001</v>
      </c>
      <c r="F15" s="119">
        <v>20.406384121221901</v>
      </c>
      <c r="G15" s="119">
        <v>18.275472094468501</v>
      </c>
      <c r="H15" s="55">
        <v>17.469520393221298</v>
      </c>
      <c r="I15" s="55">
        <f>14176807.6/1000000</f>
        <v>14.1768076</v>
      </c>
      <c r="J15" s="228">
        <v>10.451356000000001</v>
      </c>
      <c r="K15" s="119">
        <v>17.929342999999999</v>
      </c>
      <c r="L15" s="119">
        <v>17.79628112</v>
      </c>
      <c r="M15" s="119">
        <v>16.9523704</v>
      </c>
      <c r="N15" s="119">
        <v>16.759492273999999</v>
      </c>
      <c r="O15" s="119">
        <v>17.258233844028915</v>
      </c>
      <c r="P15" s="119">
        <v>18.109033441280321</v>
      </c>
      <c r="R15" s="210"/>
    </row>
    <row r="16" spans="1:18" x14ac:dyDescent="0.25">
      <c r="A16" s="99"/>
      <c r="B16" s="136" t="s">
        <v>1</v>
      </c>
      <c r="C16" s="181">
        <f t="shared" ref="C16:J16" si="1">C13/C15</f>
        <v>9.3860923338195332E-2</v>
      </c>
      <c r="D16" s="181">
        <f t="shared" si="1"/>
        <v>8.4189315686723359E-2</v>
      </c>
      <c r="E16" s="181">
        <f t="shared" si="1"/>
        <v>0.14013121781001248</v>
      </c>
      <c r="F16" s="181">
        <f t="shared" si="1"/>
        <v>0.1859298922073222</v>
      </c>
      <c r="G16" s="181">
        <f t="shared" si="1"/>
        <v>0.14835219500680422</v>
      </c>
      <c r="H16" s="181">
        <f t="shared" si="1"/>
        <v>0.14354125033524237</v>
      </c>
      <c r="I16" s="230">
        <f t="shared" si="1"/>
        <v>0.16611085277054902</v>
      </c>
      <c r="J16" s="230">
        <f t="shared" si="1"/>
        <v>0.14027264978821888</v>
      </c>
      <c r="K16" s="128">
        <v>0.12384351730010411</v>
      </c>
      <c r="L16" s="214">
        <v>0.10848731187047017</v>
      </c>
      <c r="M16" s="214">
        <v>0.11984132909224306</v>
      </c>
      <c r="N16" s="214">
        <v>0.13027774733887504</v>
      </c>
      <c r="O16" s="214">
        <v>0.12184884728094988</v>
      </c>
      <c r="P16" s="214">
        <v>0.11772687962131635</v>
      </c>
    </row>
    <row r="17" spans="1:18" ht="14.4" x14ac:dyDescent="0.3">
      <c r="A17" s="99"/>
      <c r="B17" s="138" t="s">
        <v>18</v>
      </c>
      <c r="C17" s="179">
        <v>8.7540000000000013</v>
      </c>
      <c r="D17" s="179">
        <v>9.1319999999999997</v>
      </c>
      <c r="E17" s="125">
        <f>12267/1000</f>
        <v>12.266999999999999</v>
      </c>
      <c r="F17" s="125">
        <v>13.052</v>
      </c>
      <c r="G17" s="179">
        <v>12.099</v>
      </c>
      <c r="H17" s="125">
        <v>11.804</v>
      </c>
      <c r="I17" s="48">
        <f>8083/1000</f>
        <v>8.0830000000000002</v>
      </c>
      <c r="J17" s="252">
        <f>8500/1000</f>
        <v>8.5</v>
      </c>
      <c r="K17" s="138"/>
      <c r="L17" s="138"/>
      <c r="M17" s="204"/>
      <c r="N17" s="138"/>
      <c r="O17" s="138"/>
      <c r="P17" s="130"/>
      <c r="R17" s="210"/>
    </row>
    <row r="18" spans="1:18" x14ac:dyDescent="0.25">
      <c r="A18" s="99"/>
      <c r="B18" s="138" t="s">
        <v>47</v>
      </c>
      <c r="C18" s="251">
        <v>7.6191067403341126</v>
      </c>
      <c r="D18" s="251">
        <v>7.6058465100445627</v>
      </c>
      <c r="E18" s="251">
        <f>7409.55934570637/1000</f>
        <v>7.40955934570637</v>
      </c>
      <c r="F18" s="251">
        <v>7.6962299999999999</v>
      </c>
      <c r="G18" s="251">
        <v>6.9832799999999997</v>
      </c>
      <c r="H18" s="251">
        <v>6.6136999999999899</v>
      </c>
      <c r="I18" s="237">
        <f>6310.37/1000</f>
        <v>6.3103699999999998</v>
      </c>
      <c r="J18" s="232">
        <v>5.4130000000000003</v>
      </c>
      <c r="K18" s="136"/>
      <c r="L18" s="125"/>
      <c r="M18" s="125"/>
      <c r="N18" s="136"/>
      <c r="O18" s="138"/>
      <c r="P18" s="130"/>
      <c r="R18" s="210"/>
    </row>
    <row r="19" spans="1:18" x14ac:dyDescent="0.25">
      <c r="A19" s="99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25"/>
      <c r="R19" s="210"/>
    </row>
    <row r="20" spans="1:18" x14ac:dyDescent="0.25">
      <c r="A20" s="99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19"/>
      <c r="R20" s="210"/>
    </row>
    <row r="21" spans="1:18" x14ac:dyDescent="0.25">
      <c r="A21" s="99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</row>
    <row r="22" spans="1:18" x14ac:dyDescent="0.25">
      <c r="A22" s="99"/>
      <c r="B22" s="117" t="s">
        <v>6</v>
      </c>
      <c r="C22" s="176">
        <v>0.9092369259542874</v>
      </c>
      <c r="D22" s="176">
        <v>1.0814022226791902</v>
      </c>
      <c r="E22" s="176">
        <v>0.73374488941772209</v>
      </c>
      <c r="F22" s="139">
        <v>0.67324894427135951</v>
      </c>
      <c r="G22" s="139">
        <v>0.88155187668485879</v>
      </c>
      <c r="H22" s="184">
        <v>0.91908071715902906</v>
      </c>
      <c r="I22" s="239">
        <v>0.9720751094940725</v>
      </c>
      <c r="J22" s="139">
        <v>0.99669053824625398</v>
      </c>
      <c r="K22" s="176">
        <v>0.96699999999999997</v>
      </c>
      <c r="L22" s="184">
        <v>1.1478141249048839</v>
      </c>
      <c r="M22" s="176">
        <v>1.1006623073323782</v>
      </c>
      <c r="N22" s="139">
        <v>1.0710893052538648</v>
      </c>
      <c r="O22" s="139">
        <v>1.0527141643102733</v>
      </c>
      <c r="P22" s="140">
        <v>1.0488191864610303</v>
      </c>
      <c r="R22" s="210"/>
    </row>
    <row r="23" spans="1:18" ht="15" x14ac:dyDescent="0.35">
      <c r="A23" s="99"/>
      <c r="B23" s="141" t="s">
        <v>44</v>
      </c>
      <c r="C23" s="177">
        <v>4.3879089344283362E-2</v>
      </c>
      <c r="D23" s="177">
        <v>0</v>
      </c>
      <c r="E23" s="177">
        <v>0</v>
      </c>
      <c r="F23" s="146">
        <v>0</v>
      </c>
      <c r="G23" s="146">
        <v>0</v>
      </c>
      <c r="H23" s="146">
        <v>0</v>
      </c>
      <c r="I23" s="240">
        <v>0.25475586248270643</v>
      </c>
      <c r="J23" s="146">
        <v>0.26120693269415068</v>
      </c>
      <c r="K23" s="177">
        <v>0.25340000000000001</v>
      </c>
      <c r="L23" s="146">
        <v>0.30081253444722605</v>
      </c>
      <c r="M23" s="146">
        <v>0.288455256870637</v>
      </c>
      <c r="N23" s="146">
        <v>0.28070493431106103</v>
      </c>
      <c r="O23" s="146">
        <v>0.27588928289317599</v>
      </c>
      <c r="P23" s="142">
        <v>0.274868509465646</v>
      </c>
      <c r="R23" s="210"/>
    </row>
    <row r="24" spans="1:18" s="308" customFormat="1" x14ac:dyDescent="0.25">
      <c r="B24" s="304"/>
      <c r="C24" s="304"/>
      <c r="D24" s="304"/>
      <c r="E24" s="304"/>
      <c r="F24" s="304"/>
      <c r="G24" s="146"/>
      <c r="H24" s="146"/>
      <c r="I24" s="305"/>
      <c r="J24" s="146"/>
      <c r="K24" s="146"/>
      <c r="L24" s="146"/>
      <c r="M24" s="139"/>
      <c r="N24" s="139"/>
      <c r="O24" s="139"/>
      <c r="P24" s="140"/>
      <c r="Q24" s="309"/>
      <c r="R24" s="310"/>
    </row>
    <row r="25" spans="1:18" s="308" customFormat="1" x14ac:dyDescent="0.25">
      <c r="B25" s="304"/>
      <c r="C25" s="304"/>
      <c r="D25" s="304"/>
      <c r="E25" s="304"/>
      <c r="F25" s="304"/>
      <c r="G25" s="146"/>
      <c r="H25" s="146"/>
      <c r="I25" s="305"/>
      <c r="J25" s="146"/>
      <c r="K25" s="146"/>
      <c r="L25" s="146"/>
      <c r="M25" s="139"/>
      <c r="N25" s="139"/>
      <c r="O25" s="139"/>
      <c r="P25" s="140"/>
      <c r="Q25" s="309"/>
      <c r="R25" s="310"/>
    </row>
    <row r="26" spans="1:18" x14ac:dyDescent="0.25">
      <c r="A26" s="99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18" x14ac:dyDescent="0.25">
      <c r="A27" s="99"/>
      <c r="B27" s="183" t="s">
        <v>2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8" x14ac:dyDescent="0.25">
      <c r="A28" s="99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</row>
    <row r="29" spans="1:18" x14ac:dyDescent="0.25">
      <c r="A29" s="99"/>
      <c r="B29" s="138" t="s">
        <v>25</v>
      </c>
      <c r="C29" s="321">
        <v>5.8084711758678313</v>
      </c>
      <c r="D29" s="321">
        <v>5.4952632235211363</v>
      </c>
      <c r="E29" s="321">
        <v>8.2570384227008695</v>
      </c>
      <c r="F29" s="321">
        <v>11.281654621037246</v>
      </c>
      <c r="G29" s="321">
        <v>8.0446338970183096</v>
      </c>
      <c r="H29" s="321">
        <v>7.5900978461193143</v>
      </c>
      <c r="I29" s="321">
        <v>7.194920825480529</v>
      </c>
      <c r="J29" s="321">
        <v>6.6874296215128259</v>
      </c>
      <c r="K29" s="321">
        <v>10.059020202439848</v>
      </c>
      <c r="L29" s="321">
        <v>8.6760088264537423</v>
      </c>
      <c r="M29" s="321">
        <v>10.16155195060076</v>
      </c>
      <c r="N29" s="321">
        <v>18.132864911056405</v>
      </c>
      <c r="O29" s="321">
        <v>17.822673701590922</v>
      </c>
      <c r="P29" s="321">
        <v>18.220931625367228</v>
      </c>
      <c r="R29" s="215"/>
    </row>
    <row r="30" spans="1:18" x14ac:dyDescent="0.25">
      <c r="A30" s="99"/>
      <c r="B30" s="138" t="s">
        <v>41</v>
      </c>
      <c r="C30" s="321">
        <v>48.496317169260315</v>
      </c>
      <c r="D30" s="321">
        <v>45.65169224469706</v>
      </c>
      <c r="E30" s="321">
        <v>44.709333419356895</v>
      </c>
      <c r="F30" s="321">
        <v>42.249656264571598</v>
      </c>
      <c r="G30" s="321">
        <v>41.860329335209187</v>
      </c>
      <c r="H30" s="321">
        <v>41.651132920289925</v>
      </c>
      <c r="I30" s="321">
        <v>43.823496478809453</v>
      </c>
      <c r="J30" s="321">
        <v>34.053999331500371</v>
      </c>
      <c r="K30" s="321">
        <v>22.720595687028286</v>
      </c>
      <c r="L30" s="321">
        <v>21.231796285367366</v>
      </c>
      <c r="M30" s="321">
        <v>20.723785669978032</v>
      </c>
      <c r="N30" s="321">
        <v>12.095995023797034</v>
      </c>
      <c r="O30" s="321">
        <v>10.976325186061958</v>
      </c>
      <c r="P30" s="321">
        <v>7.9477445109964089</v>
      </c>
      <c r="R30" s="215"/>
    </row>
    <row r="31" spans="1:18" x14ac:dyDescent="0.25">
      <c r="A31" s="99"/>
      <c r="B31" s="138" t="s">
        <v>26</v>
      </c>
      <c r="C31" s="321">
        <v>54.304788345128145</v>
      </c>
      <c r="D31" s="321">
        <v>51.146955468218188</v>
      </c>
      <c r="E31" s="321">
        <v>52.966371842057761</v>
      </c>
      <c r="F31" s="321">
        <v>53.531310885608853</v>
      </c>
      <c r="G31" s="321">
        <v>49.904963232227487</v>
      </c>
      <c r="H31" s="321">
        <v>49.241230766409259</v>
      </c>
      <c r="I31" s="321">
        <v>51.018417304290004</v>
      </c>
      <c r="J31" s="321">
        <v>40.741428953013276</v>
      </c>
      <c r="K31" s="321">
        <v>32.779615889468197</v>
      </c>
      <c r="L31" s="321">
        <v>29.907805111821084</v>
      </c>
      <c r="M31" s="321">
        <v>30.885337620578778</v>
      </c>
      <c r="N31" s="321">
        <v>30.228859934853425</v>
      </c>
      <c r="O31" s="321">
        <v>28.798998887652946</v>
      </c>
      <c r="P31" s="321">
        <v>26.168676136363636</v>
      </c>
      <c r="R31" s="215"/>
    </row>
    <row r="32" spans="1:18" x14ac:dyDescent="0.25">
      <c r="A32" s="99"/>
      <c r="B32" s="138"/>
      <c r="C32" s="343"/>
      <c r="D32" s="343"/>
      <c r="E32" s="343"/>
      <c r="F32" s="343"/>
      <c r="G32" s="343"/>
      <c r="H32" s="343"/>
      <c r="I32" s="343"/>
      <c r="J32" s="343"/>
      <c r="K32" s="345"/>
      <c r="L32" s="343"/>
      <c r="M32" s="343"/>
      <c r="N32" s="343"/>
      <c r="O32" s="343"/>
      <c r="P32" s="343"/>
    </row>
    <row r="33" spans="1:16" x14ac:dyDescent="0.25">
      <c r="A33" s="99"/>
      <c r="B33" s="138" t="s">
        <v>35</v>
      </c>
      <c r="C33" s="343"/>
      <c r="D33" s="343"/>
      <c r="E33" s="343"/>
      <c r="F33" s="343"/>
      <c r="G33" s="343"/>
      <c r="H33" s="343"/>
      <c r="I33" s="343"/>
      <c r="J33" s="341"/>
      <c r="K33" s="345"/>
      <c r="L33" s="343"/>
      <c r="M33" s="343"/>
      <c r="N33" s="336"/>
      <c r="O33" s="336"/>
      <c r="P33" s="336"/>
    </row>
    <row r="34" spans="1:16" x14ac:dyDescent="0.25">
      <c r="A34" s="99"/>
      <c r="B34" s="117" t="s">
        <v>7</v>
      </c>
      <c r="C34" s="336">
        <v>6203.4256734210803</v>
      </c>
      <c r="D34" s="336">
        <v>5600.8492628359827</v>
      </c>
      <c r="E34" s="336">
        <v>4317.7934166509958</v>
      </c>
      <c r="F34" s="336">
        <v>4101.3875946681619</v>
      </c>
      <c r="G34" s="336">
        <v>4124.7180124165207</v>
      </c>
      <c r="H34" s="336">
        <v>4171.5715661139666</v>
      </c>
      <c r="I34" s="336">
        <v>6311.817061028084</v>
      </c>
      <c r="J34" s="336">
        <v>4793.109288589797</v>
      </c>
      <c r="K34" s="345"/>
      <c r="L34" s="343"/>
      <c r="M34" s="343"/>
      <c r="N34" s="336"/>
      <c r="O34" s="336"/>
      <c r="P34" s="336"/>
    </row>
    <row r="35" spans="1:16" x14ac:dyDescent="0.25">
      <c r="A35" s="99"/>
      <c r="B35" s="136" t="s">
        <v>15</v>
      </c>
      <c r="C35" s="234">
        <v>2.7281015173450816</v>
      </c>
      <c r="D35" s="234">
        <v>2.813278893308151</v>
      </c>
      <c r="E35" s="234">
        <v>2.6742794270691039</v>
      </c>
      <c r="F35" s="234">
        <v>2.6232629243677827</v>
      </c>
      <c r="G35" s="234">
        <v>2.7307072000253494</v>
      </c>
      <c r="H35" s="234">
        <v>2.8186939113403677</v>
      </c>
      <c r="I35" s="234">
        <v>3.5987239683135717</v>
      </c>
      <c r="J35" s="234">
        <v>3.8981955023839272</v>
      </c>
      <c r="K35" s="234">
        <v>1.8282664283609387</v>
      </c>
      <c r="L35" s="234">
        <v>1.6805648837615734</v>
      </c>
      <c r="M35" s="234">
        <v>1.8218890274234911</v>
      </c>
      <c r="N35" s="234">
        <v>1.8036859017351772</v>
      </c>
      <c r="O35" s="234">
        <v>1.6687106657566213</v>
      </c>
      <c r="P35" s="234">
        <v>1.4450620029620693</v>
      </c>
    </row>
    <row r="36" spans="1:16" x14ac:dyDescent="0.25">
      <c r="A36" s="99"/>
      <c r="B36" s="138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</row>
    <row r="37" spans="1:16" x14ac:dyDescent="0.25">
      <c r="A37" s="99"/>
      <c r="B37" s="138" t="s">
        <v>36</v>
      </c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</row>
    <row r="38" spans="1:16" x14ac:dyDescent="0.25">
      <c r="A38" s="99"/>
      <c r="B38" s="138" t="s">
        <v>8</v>
      </c>
      <c r="C38" s="323">
        <v>9.9483119828519122</v>
      </c>
      <c r="D38" s="323">
        <v>11.488795508234398</v>
      </c>
      <c r="E38" s="323">
        <v>9.5201972318121726</v>
      </c>
      <c r="F38" s="323">
        <v>9.5149717553368358</v>
      </c>
      <c r="G38" s="323">
        <v>9.49497185845334</v>
      </c>
      <c r="H38" s="323">
        <v>9.685892527690978</v>
      </c>
      <c r="I38" s="323">
        <v>9.776863332323968</v>
      </c>
      <c r="J38" s="323">
        <v>9.5792802056867874</v>
      </c>
      <c r="K38" s="323">
        <v>9.5134342610054468</v>
      </c>
      <c r="L38" s="323">
        <v>9.4369373998128516</v>
      </c>
      <c r="M38" s="323">
        <v>10.503699456703417</v>
      </c>
      <c r="N38" s="323">
        <v>17.440326967503797</v>
      </c>
      <c r="O38" s="323">
        <v>17.798130080210314</v>
      </c>
      <c r="P38" s="323">
        <v>17.948120198352271</v>
      </c>
    </row>
    <row r="39" spans="1:16" x14ac:dyDescent="0.25">
      <c r="A39" s="99"/>
      <c r="B39" s="136" t="s">
        <v>9</v>
      </c>
      <c r="C39" s="323">
        <v>3.1088474946412221</v>
      </c>
      <c r="D39" s="323">
        <v>3.5902485963232498</v>
      </c>
      <c r="E39" s="323">
        <v>2.9750616349413033</v>
      </c>
      <c r="F39" s="323">
        <v>2.9734286735427613</v>
      </c>
      <c r="G39" s="323">
        <v>2.9671787057666688</v>
      </c>
      <c r="H39" s="323">
        <v>3.0268414149034304</v>
      </c>
      <c r="I39" s="323">
        <v>3.0552697913512397</v>
      </c>
      <c r="J39" s="323">
        <v>4.5615620027079933</v>
      </c>
      <c r="K39" s="323">
        <v>4.5302067909549741</v>
      </c>
      <c r="L39" s="323">
        <v>4.4937797141965961</v>
      </c>
      <c r="M39" s="323">
        <v>5.0017616460492462</v>
      </c>
      <c r="N39" s="323">
        <v>8.3049176035732355</v>
      </c>
      <c r="O39" s="323">
        <v>8.4753000381953871</v>
      </c>
      <c r="P39" s="323">
        <v>8.5467239039772718</v>
      </c>
    </row>
    <row r="40" spans="1:16" x14ac:dyDescent="0.25">
      <c r="A40" s="99"/>
      <c r="B40" s="136" t="s">
        <v>16</v>
      </c>
      <c r="C40" s="323">
        <v>0.29179929636466034</v>
      </c>
      <c r="D40" s="323">
        <v>0.30226057246967347</v>
      </c>
      <c r="E40" s="323">
        <v>0.41689900996417167</v>
      </c>
      <c r="F40" s="323">
        <v>0.55284927275796669</v>
      </c>
      <c r="G40" s="323">
        <v>0.44018747397793384</v>
      </c>
      <c r="H40" s="323">
        <v>0.43447660126173249</v>
      </c>
      <c r="I40" s="323">
        <v>0.50751347048545181</v>
      </c>
      <c r="J40" s="323">
        <v>0.63986238929310468</v>
      </c>
      <c r="K40" s="323">
        <v>0.56103674308868146</v>
      </c>
      <c r="L40" s="323">
        <v>0.48751808133123842</v>
      </c>
      <c r="M40" s="323">
        <v>0.59941776346514708</v>
      </c>
      <c r="N40" s="323">
        <v>1.0819459572284895</v>
      </c>
      <c r="O40" s="323">
        <v>1.0327055400142984</v>
      </c>
      <c r="P40" s="323">
        <v>1.0061791362001591</v>
      </c>
    </row>
    <row r="41" spans="1:16" x14ac:dyDescent="0.25">
      <c r="A41" s="99"/>
      <c r="B41" s="138" t="s">
        <v>10</v>
      </c>
      <c r="C41" s="323">
        <v>93.009151679117863</v>
      </c>
      <c r="D41" s="323">
        <v>106.93153145566873</v>
      </c>
      <c r="E41" s="323">
        <v>61.069148619142872</v>
      </c>
      <c r="F41" s="323">
        <v>45.148422657162811</v>
      </c>
      <c r="G41" s="323">
        <v>58.902148631372349</v>
      </c>
      <c r="H41" s="323">
        <v>62.83782881383069</v>
      </c>
      <c r="I41" s="323">
        <v>69.326696639806613</v>
      </c>
      <c r="J41" s="323">
        <v>58.359277930271098</v>
      </c>
      <c r="K41" s="323">
        <v>31.00169942891911</v>
      </c>
      <c r="L41" s="323">
        <v>32.530866467712116</v>
      </c>
      <c r="M41" s="323">
        <v>31.925271411538223</v>
      </c>
      <c r="N41" s="323">
        <v>29.07434670167655</v>
      </c>
      <c r="O41" s="323">
        <v>28.75933975812649</v>
      </c>
      <c r="P41" s="323">
        <v>25.776867746615086</v>
      </c>
    </row>
    <row r="42" spans="1:16" x14ac:dyDescent="0.25">
      <c r="A42" s="99"/>
      <c r="B42" s="200" t="s">
        <v>11</v>
      </c>
      <c r="C42" s="339">
        <v>29.065359899724328</v>
      </c>
      <c r="D42" s="339">
        <v>33.416103579896479</v>
      </c>
      <c r="E42" s="339">
        <v>19.084108943482146</v>
      </c>
      <c r="F42" s="339">
        <v>14.108882080363378</v>
      </c>
      <c r="G42" s="339">
        <v>18.406921447303858</v>
      </c>
      <c r="H42" s="339">
        <v>19.636821504322089</v>
      </c>
      <c r="I42" s="339">
        <v>21.664592699939561</v>
      </c>
      <c r="J42" s="339">
        <v>27.790132347748138</v>
      </c>
      <c r="K42" s="339">
        <v>14.762714013771003</v>
      </c>
      <c r="L42" s="339">
        <v>15.490888794148626</v>
      </c>
      <c r="M42" s="339">
        <v>15.202510195970582</v>
      </c>
      <c r="N42" s="339">
        <v>13.844927000798357</v>
      </c>
      <c r="O42" s="339">
        <v>13.694923694345947</v>
      </c>
      <c r="P42" s="339">
        <v>12.274698926959562</v>
      </c>
    </row>
    <row r="43" spans="1:16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1:16" x14ac:dyDescent="0.25">
      <c r="A44" s="99"/>
      <c r="B44" s="159" t="s">
        <v>39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</row>
    <row r="45" spans="1:16" ht="15.6" x14ac:dyDescent="0.3">
      <c r="A45" s="99"/>
      <c r="B45" s="269" t="s">
        <v>93</v>
      </c>
      <c r="C45" s="269"/>
      <c r="D45" s="269"/>
      <c r="E45" s="269"/>
      <c r="F45" s="269"/>
      <c r="G45" s="270"/>
      <c r="H45" s="271"/>
      <c r="I45" s="254"/>
      <c r="J45" s="216"/>
      <c r="K45" s="216"/>
      <c r="L45" s="159"/>
      <c r="M45" s="159"/>
      <c r="N45" s="159"/>
      <c r="O45" s="159"/>
    </row>
    <row r="46" spans="1:16" x14ac:dyDescent="0.25">
      <c r="A46" s="9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</row>
    <row r="47" spans="1:16" x14ac:dyDescent="0.25">
      <c r="A47" s="99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</row>
    <row r="48" spans="1:16" x14ac:dyDescent="0.25">
      <c r="A48" s="99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</row>
    <row r="49" spans="1:15" x14ac:dyDescent="0.25">
      <c r="A49" s="99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</row>
    <row r="51" spans="1:15" x14ac:dyDescent="0.25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</row>
    <row r="52" spans="1:15" x14ac:dyDescent="0.25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</row>
    <row r="53" spans="1:15" x14ac:dyDescent="0.25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</row>
    <row r="54" spans="1:15" x14ac:dyDescent="0.25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</row>
    <row r="55" spans="1:15" x14ac:dyDescent="0.25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</row>
    <row r="56" spans="1:15" x14ac:dyDescent="0.25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</row>
    <row r="57" spans="1:15" x14ac:dyDescent="0.25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</row>
    <row r="58" spans="1:15" x14ac:dyDescent="0.2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</row>
    <row r="59" spans="1:15" x14ac:dyDescent="0.25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</row>
    <row r="60" spans="1:15" x14ac:dyDescent="0.25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</row>
    <row r="61" spans="1:15" x14ac:dyDescent="0.2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</row>
    <row r="62" spans="1:15" x14ac:dyDescent="0.2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</row>
    <row r="63" spans="1:15" x14ac:dyDescent="0.25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</row>
    <row r="64" spans="1:15" x14ac:dyDescent="0.25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</row>
    <row r="65" spans="2:15" x14ac:dyDescent="0.25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</row>
    <row r="66" spans="2:15" x14ac:dyDescent="0.25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</row>
    <row r="67" spans="2:15" x14ac:dyDescent="0.2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</row>
    <row r="68" spans="2:15" x14ac:dyDescent="0.25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</row>
    <row r="69" spans="2:15" x14ac:dyDescent="0.25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</row>
    <row r="70" spans="2:15" x14ac:dyDescent="0.25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</row>
    <row r="71" spans="2:15" x14ac:dyDescent="0.25"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</row>
    <row r="72" spans="2:15" x14ac:dyDescent="0.25"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</row>
    <row r="73" spans="2:15" x14ac:dyDescent="0.25"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</row>
    <row r="74" spans="2:15" x14ac:dyDescent="0.25"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</row>
    <row r="75" spans="2:15" x14ac:dyDescent="0.25"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</row>
    <row r="76" spans="2:15" x14ac:dyDescent="0.25"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</row>
    <row r="77" spans="2:15" x14ac:dyDescent="0.25"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</row>
    <row r="78" spans="2:15" x14ac:dyDescent="0.25"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</row>
    <row r="79" spans="2:15" x14ac:dyDescent="0.25"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</row>
    <row r="80" spans="2:15" x14ac:dyDescent="0.25"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</row>
    <row r="81" spans="2:15" x14ac:dyDescent="0.25"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</row>
    <row r="82" spans="2:15" x14ac:dyDescent="0.25"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</row>
    <row r="83" spans="2:15" x14ac:dyDescent="0.25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</row>
    <row r="84" spans="2:15" x14ac:dyDescent="0.25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</row>
    <row r="85" spans="2:15" x14ac:dyDescent="0.25"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</row>
    <row r="86" spans="2:15" x14ac:dyDescent="0.25"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</row>
    <row r="87" spans="2:15" x14ac:dyDescent="0.25"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</row>
    <row r="88" spans="2:15" x14ac:dyDescent="0.25"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</row>
    <row r="89" spans="2:15" x14ac:dyDescent="0.25"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</row>
    <row r="90" spans="2:15" x14ac:dyDescent="0.25"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</row>
    <row r="91" spans="2:15" x14ac:dyDescent="0.25"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</row>
    <row r="92" spans="2:15" x14ac:dyDescent="0.25"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</row>
    <row r="93" spans="2:15" x14ac:dyDescent="0.25"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</row>
    <row r="94" spans="2:15" x14ac:dyDescent="0.25"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</row>
    <row r="95" spans="2:15" x14ac:dyDescent="0.25"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</row>
    <row r="96" spans="2:15" x14ac:dyDescent="0.25"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</row>
    <row r="97" spans="2:15" x14ac:dyDescent="0.25"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</row>
    <row r="98" spans="2:15" x14ac:dyDescent="0.25"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</row>
    <row r="99" spans="2:15" x14ac:dyDescent="0.25"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2:15" x14ac:dyDescent="0.25"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</row>
    <row r="101" spans="2:15" x14ac:dyDescent="0.25"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</row>
    <row r="102" spans="2:15" x14ac:dyDescent="0.25"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</row>
    <row r="103" spans="2:15" x14ac:dyDescent="0.25"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</row>
    <row r="104" spans="2:15" x14ac:dyDescent="0.25"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</row>
    <row r="105" spans="2:15" x14ac:dyDescent="0.25"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</row>
    <row r="106" spans="2:15" x14ac:dyDescent="0.25"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</row>
    <row r="107" spans="2:15" x14ac:dyDescent="0.25"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</row>
    <row r="108" spans="2:15" x14ac:dyDescent="0.25"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</row>
    <row r="109" spans="2:15" x14ac:dyDescent="0.25"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</row>
    <row r="110" spans="2:15" x14ac:dyDescent="0.25"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</row>
    <row r="111" spans="2:15" x14ac:dyDescent="0.25"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</row>
    <row r="112" spans="2:15" x14ac:dyDescent="0.25"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</row>
    <row r="113" spans="2:15" x14ac:dyDescent="0.25"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</row>
    <row r="114" spans="2:15" x14ac:dyDescent="0.25"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</row>
    <row r="115" spans="2:15" x14ac:dyDescent="0.25"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</row>
    <row r="116" spans="2:15" x14ac:dyDescent="0.25"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</row>
    <row r="117" spans="2:15" x14ac:dyDescent="0.25"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</row>
    <row r="118" spans="2:15" x14ac:dyDescent="0.25"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</row>
    <row r="119" spans="2:15" x14ac:dyDescent="0.25"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</row>
    <row r="120" spans="2:15" x14ac:dyDescent="0.25"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</row>
    <row r="121" spans="2:15" x14ac:dyDescent="0.25"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</row>
    <row r="122" spans="2:15" x14ac:dyDescent="0.25"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</row>
    <row r="123" spans="2:15" x14ac:dyDescent="0.25"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</row>
    <row r="124" spans="2:15" x14ac:dyDescent="0.25"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</row>
    <row r="125" spans="2:15" x14ac:dyDescent="0.25"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</row>
    <row r="126" spans="2:15" x14ac:dyDescent="0.25"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</row>
    <row r="127" spans="2:15" x14ac:dyDescent="0.25"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</row>
    <row r="128" spans="2:15" x14ac:dyDescent="0.25"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</row>
    <row r="129" spans="2:15" x14ac:dyDescent="0.25"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</row>
    <row r="130" spans="2:15" x14ac:dyDescent="0.25"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</row>
    <row r="131" spans="2:15" x14ac:dyDescent="0.25"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</row>
    <row r="132" spans="2:15" x14ac:dyDescent="0.25"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</row>
    <row r="133" spans="2:15" x14ac:dyDescent="0.25"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</row>
    <row r="134" spans="2:15" x14ac:dyDescent="0.25"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</row>
    <row r="135" spans="2:15" x14ac:dyDescent="0.25"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</row>
    <row r="136" spans="2:15" x14ac:dyDescent="0.25"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</row>
    <row r="137" spans="2:15" x14ac:dyDescent="0.25"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</row>
    <row r="138" spans="2:15" x14ac:dyDescent="0.25"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</row>
    <row r="139" spans="2:15" x14ac:dyDescent="0.25"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</row>
    <row r="140" spans="2:15" x14ac:dyDescent="0.25"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</row>
    <row r="141" spans="2:15" x14ac:dyDescent="0.25"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</row>
    <row r="142" spans="2:15" x14ac:dyDescent="0.25"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</row>
    <row r="143" spans="2:15" x14ac:dyDescent="0.25"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</row>
    <row r="144" spans="2:15" x14ac:dyDescent="0.25"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</row>
    <row r="145" spans="2:15" x14ac:dyDescent="0.25"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</row>
    <row r="146" spans="2:15" x14ac:dyDescent="0.25"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</row>
    <row r="147" spans="2:15" x14ac:dyDescent="0.25"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</row>
    <row r="148" spans="2:15" x14ac:dyDescent="0.25"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</row>
    <row r="149" spans="2:15" x14ac:dyDescent="0.25"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</row>
    <row r="150" spans="2:15" x14ac:dyDescent="0.25"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</row>
    <row r="151" spans="2:15" x14ac:dyDescent="0.25"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</row>
    <row r="152" spans="2:15" x14ac:dyDescent="0.25"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</row>
    <row r="153" spans="2:15" x14ac:dyDescent="0.25"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</row>
    <row r="154" spans="2:15" x14ac:dyDescent="0.25"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</row>
    <row r="155" spans="2:15" x14ac:dyDescent="0.25"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</row>
    <row r="156" spans="2:15" x14ac:dyDescent="0.25"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</row>
    <row r="157" spans="2:15" x14ac:dyDescent="0.25"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</row>
    <row r="158" spans="2:15" x14ac:dyDescent="0.25"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</row>
    <row r="159" spans="2:15" x14ac:dyDescent="0.25"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</row>
    <row r="160" spans="2:15" x14ac:dyDescent="0.25"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</row>
    <row r="161" spans="2:15" x14ac:dyDescent="0.25"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</row>
    <row r="162" spans="2:15" x14ac:dyDescent="0.25"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</row>
    <row r="163" spans="2:15" x14ac:dyDescent="0.25"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</row>
    <row r="164" spans="2:15" x14ac:dyDescent="0.25"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</row>
    <row r="165" spans="2:15" x14ac:dyDescent="0.25"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</row>
    <row r="166" spans="2:15" x14ac:dyDescent="0.25"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</row>
    <row r="167" spans="2:15" x14ac:dyDescent="0.25"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</row>
    <row r="168" spans="2:15" x14ac:dyDescent="0.25"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</row>
    <row r="169" spans="2:15" x14ac:dyDescent="0.25"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</row>
    <row r="170" spans="2:15" x14ac:dyDescent="0.25"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</row>
    <row r="171" spans="2:15" x14ac:dyDescent="0.25"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</row>
    <row r="172" spans="2:15" x14ac:dyDescent="0.25"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</row>
    <row r="173" spans="2:15" x14ac:dyDescent="0.25"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</row>
    <row r="174" spans="2:15" x14ac:dyDescent="0.25"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</row>
    <row r="175" spans="2:15" x14ac:dyDescent="0.25"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</row>
    <row r="176" spans="2:15" x14ac:dyDescent="0.25"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</row>
    <row r="177" spans="2:15" x14ac:dyDescent="0.25"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</row>
    <row r="178" spans="2:15" x14ac:dyDescent="0.25"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</row>
    <row r="179" spans="2:15" x14ac:dyDescent="0.25"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</row>
    <row r="180" spans="2:15" x14ac:dyDescent="0.25"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</row>
    <row r="181" spans="2:15" x14ac:dyDescent="0.25"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</row>
    <row r="182" spans="2:15" x14ac:dyDescent="0.25"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</row>
    <row r="183" spans="2:15" x14ac:dyDescent="0.25"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</row>
    <row r="184" spans="2:15" x14ac:dyDescent="0.25"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</row>
    <row r="185" spans="2:15" x14ac:dyDescent="0.25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</row>
    <row r="186" spans="2:15" x14ac:dyDescent="0.25"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</row>
    <row r="187" spans="2:15" x14ac:dyDescent="0.25"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</row>
    <row r="188" spans="2:15" x14ac:dyDescent="0.25"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</row>
    <row r="189" spans="2:15" x14ac:dyDescent="0.25"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</row>
    <row r="190" spans="2:15" x14ac:dyDescent="0.25"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</row>
    <row r="191" spans="2:15" x14ac:dyDescent="0.25"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</row>
    <row r="192" spans="2:15" x14ac:dyDescent="0.25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</row>
    <row r="193" spans="2:15" x14ac:dyDescent="0.25"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</row>
    <row r="194" spans="2:15" x14ac:dyDescent="0.25"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</row>
    <row r="195" spans="2:15" x14ac:dyDescent="0.25"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</row>
    <row r="196" spans="2:15" x14ac:dyDescent="0.25"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</row>
    <row r="197" spans="2:15" x14ac:dyDescent="0.25"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</row>
    <row r="198" spans="2:15" x14ac:dyDescent="0.25"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</row>
    <row r="199" spans="2:15" x14ac:dyDescent="0.25"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</row>
    <row r="200" spans="2:15" x14ac:dyDescent="0.25"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</row>
    <row r="201" spans="2:15" x14ac:dyDescent="0.25"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</row>
    <row r="202" spans="2:15" x14ac:dyDescent="0.25"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</row>
    <row r="203" spans="2:15" x14ac:dyDescent="0.25"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</row>
    <row r="204" spans="2:15" x14ac:dyDescent="0.25"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</row>
    <row r="205" spans="2:15" x14ac:dyDescent="0.25"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</row>
    <row r="206" spans="2:15" x14ac:dyDescent="0.25"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</row>
    <row r="207" spans="2:15" x14ac:dyDescent="0.25"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</row>
    <row r="208" spans="2:15" x14ac:dyDescent="0.25"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</row>
    <row r="209" spans="2:15" x14ac:dyDescent="0.25"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</row>
    <row r="210" spans="2:15" x14ac:dyDescent="0.25"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</row>
    <row r="211" spans="2:15" x14ac:dyDescent="0.25"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</row>
    <row r="212" spans="2:15" x14ac:dyDescent="0.25"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</row>
    <row r="213" spans="2:15" x14ac:dyDescent="0.25"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</row>
    <row r="214" spans="2:15" x14ac:dyDescent="0.25"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</row>
    <row r="215" spans="2:15" x14ac:dyDescent="0.25"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</row>
    <row r="216" spans="2:15" x14ac:dyDescent="0.25"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</row>
    <row r="217" spans="2:15" x14ac:dyDescent="0.25"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</row>
    <row r="218" spans="2:15" x14ac:dyDescent="0.25"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</row>
    <row r="219" spans="2:15" x14ac:dyDescent="0.25"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</row>
    <row r="220" spans="2:15" x14ac:dyDescent="0.25"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</row>
    <row r="221" spans="2:15" x14ac:dyDescent="0.25"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</row>
    <row r="222" spans="2:15" x14ac:dyDescent="0.25"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</row>
    <row r="223" spans="2:15" x14ac:dyDescent="0.25"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</row>
    <row r="224" spans="2:15" x14ac:dyDescent="0.25"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</row>
    <row r="225" spans="2:15" x14ac:dyDescent="0.25"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</row>
    <row r="226" spans="2:15" x14ac:dyDescent="0.25"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</row>
    <row r="227" spans="2:15" x14ac:dyDescent="0.25"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</row>
    <row r="228" spans="2:15" x14ac:dyDescent="0.25"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</row>
    <row r="229" spans="2:15" x14ac:dyDescent="0.25"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</row>
    <row r="230" spans="2:15" x14ac:dyDescent="0.25"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</row>
    <row r="231" spans="2:15" x14ac:dyDescent="0.25"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</row>
    <row r="232" spans="2:15" x14ac:dyDescent="0.25"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</row>
    <row r="233" spans="2:15" x14ac:dyDescent="0.25"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</row>
  </sheetData>
  <pageMargins left="0.49" right="0.19685039370078741" top="0.68" bottom="0.81" header="0.55118110236220474" footer="0.51181102362204722"/>
  <pageSetup paperSize="9" scale="67" orientation="landscape" horizontalDpi="4294967292" r:id="rId1"/>
  <headerFooter alignWithMargins="0">
    <oddHeader>&amp;A</oddHeader>
    <oddFooter>&amp;L&amp;BAS Oslo SporveierKonfidensielt&amp;B&amp;C&amp;D&amp;RSide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626C8ACFA52D4DA4BCF6E36F6C8746" ma:contentTypeVersion="12" ma:contentTypeDescription="Opprett et nytt dokument." ma:contentTypeScope="" ma:versionID="3cef2815795a5555c00098ab348b735a">
  <xsd:schema xmlns:xsd="http://www.w3.org/2001/XMLSchema" xmlns:xs="http://www.w3.org/2001/XMLSchema" xmlns:p="http://schemas.microsoft.com/office/2006/metadata/properties" xmlns:ns2="2fb5f445-b47a-4a37-90f4-cc9d835038e2" xmlns:ns3="9a10db6d-6d71-41d6-9ca9-c63c227559c4" targetNamespace="http://schemas.microsoft.com/office/2006/metadata/properties" ma:root="true" ma:fieldsID="65606b116ad17066e30ae8e3f9d514e4" ns2:_="" ns3:_="">
    <xsd:import namespace="2fb5f445-b47a-4a37-90f4-cc9d835038e2"/>
    <xsd:import namespace="9a10db6d-6d71-41d6-9ca9-c63c22755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5f445-b47a-4a37-90f4-cc9d835038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0db6d-6d71-41d6-9ca9-c63c227559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665327-15F1-47A6-BA6E-79920B2BCC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72FCD6-6A63-403A-A09B-F9BAD45BB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b5f445-b47a-4a37-90f4-cc9d835038e2"/>
    <ds:schemaRef ds:uri="9a10db6d-6d71-41d6-9ca9-c63c22755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938CCD-3C58-4064-9E42-00006B96A51F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63808282-2155-4427-99A6-FCD9353EE9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9</vt:i4>
      </vt:variant>
    </vt:vector>
  </HeadingPairs>
  <TitlesOfParts>
    <vt:vector size="19" baseType="lpstr">
      <vt:lpstr>Totalt 2020</vt:lpstr>
      <vt:lpstr>Bane 2020</vt:lpstr>
      <vt:lpstr>Trikk 2020</vt:lpstr>
      <vt:lpstr>Buss totalt 2020</vt:lpstr>
      <vt:lpstr>Bybuss 2020</vt:lpstr>
      <vt:lpstr>Regionbuss 2020</vt:lpstr>
      <vt:lpstr>Båt totalt 2020</vt:lpstr>
      <vt:lpstr>Båt tidl. Akershus 2020</vt:lpstr>
      <vt:lpstr>Båt Oslo 2020</vt:lpstr>
      <vt:lpstr>Tog 2020</vt:lpstr>
      <vt:lpstr>'Bane 2020'!Utskriftsområde</vt:lpstr>
      <vt:lpstr>'Buss totalt 2020'!Utskriftsområde</vt:lpstr>
      <vt:lpstr>'Bybuss 2020'!Utskriftsområde</vt:lpstr>
      <vt:lpstr>'Båt Oslo 2020'!Utskriftsområde</vt:lpstr>
      <vt:lpstr>'Båt tidl. Akershus 2020'!Utskriftsområde</vt:lpstr>
      <vt:lpstr>'Båt totalt 2020'!Utskriftsområde</vt:lpstr>
      <vt:lpstr>'Regionbuss 2020'!Utskriftsområde</vt:lpstr>
      <vt:lpstr>'Totalt 2020'!Utskriftsområde</vt:lpstr>
      <vt:lpstr>'Trikk 2020'!Utskriftsområde</vt:lpstr>
    </vt:vector>
  </TitlesOfParts>
  <Company>SPORVEIEN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Cathrine Bakke</dc:creator>
  <cp:lastModifiedBy>Mjøsund Christian Svendsen</cp:lastModifiedBy>
  <cp:lastPrinted>2009-03-09T09:00:29Z</cp:lastPrinted>
  <dcterms:created xsi:type="dcterms:W3CDTF">2007-05-18T12:29:27Z</dcterms:created>
  <dcterms:modified xsi:type="dcterms:W3CDTF">2022-03-17T12:23:19Z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0x0101002D626C8ACFA52D4DA4BCF6E36F6C8746</vt:lpwstr>
  </property>
</Properties>
</file>